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activeTab="1"/>
  </bookViews>
  <sheets>
    <sheet name="Men" sheetId="1" r:id="rId1"/>
    <sheet name="Women" sheetId="2" r:id="rId2"/>
    <sheet name="Juniors" sheetId="3" r:id="rId3"/>
    <sheet name="Standings" sheetId="4" r:id="rId4"/>
  </sheets>
  <definedNames>
    <definedName name="_xlnm.Print_Area" localSheetId="1">'Women'!$A$1:$M$45</definedName>
  </definedNames>
  <calcPr fullCalcOnLoad="1"/>
</workbook>
</file>

<file path=xl/sharedStrings.xml><?xml version="1.0" encoding="utf-8"?>
<sst xmlns="http://schemas.openxmlformats.org/spreadsheetml/2006/main" count="608" uniqueCount="327">
  <si>
    <t>Club Name</t>
  </si>
  <si>
    <t>Time</t>
  </si>
  <si>
    <t xml:space="preserve"> </t>
  </si>
  <si>
    <t>Ashford AC A</t>
  </si>
  <si>
    <t>Steve O'Brien</t>
  </si>
  <si>
    <t>Chris Boyce</t>
  </si>
  <si>
    <t>Ashford AC B</t>
  </si>
  <si>
    <t>Warren Uden</t>
  </si>
  <si>
    <t>Dave Martin</t>
  </si>
  <si>
    <t>Folkestone RC B</t>
  </si>
  <si>
    <t>Jo Faux</t>
  </si>
  <si>
    <t>Kate Henderson</t>
  </si>
  <si>
    <t>Scott Lynch</t>
  </si>
  <si>
    <t>Jo Daniels</t>
  </si>
  <si>
    <t>Claire Thurgate</t>
  </si>
  <si>
    <t>Folkestone RC A</t>
  </si>
  <si>
    <t>Catherine O'Connor</t>
  </si>
  <si>
    <t>Caroline Curtis</t>
  </si>
  <si>
    <t>Levi Atwell</t>
  </si>
  <si>
    <t>John Thorpe</t>
  </si>
  <si>
    <t>Martin McConnell</t>
  </si>
  <si>
    <t>Folkestone RC C</t>
  </si>
  <si>
    <t>Billy Baker</t>
  </si>
  <si>
    <t>Pts</t>
  </si>
  <si>
    <t>Rob Carpenter</t>
  </si>
  <si>
    <t>CJ Lattimer</t>
  </si>
  <si>
    <t>Dexter Hogben</t>
  </si>
  <si>
    <t>Fiona Craig</t>
  </si>
  <si>
    <t>Stuart Marchant</t>
  </si>
  <si>
    <t>Andy Swan</t>
  </si>
  <si>
    <t>Dave Chapman-Jones</t>
  </si>
  <si>
    <t>Leela Osborne</t>
  </si>
  <si>
    <t>Karen Puttock</t>
  </si>
  <si>
    <t>Sam West</t>
  </si>
  <si>
    <t>Nikki Goodwin</t>
  </si>
  <si>
    <t>Pete Ryder</t>
  </si>
  <si>
    <t>Barry Hogben</t>
  </si>
  <si>
    <t>Gail Turbutt</t>
  </si>
  <si>
    <t>Steve King</t>
  </si>
  <si>
    <t>Nick Steele</t>
  </si>
  <si>
    <t>Stephen Burt</t>
  </si>
  <si>
    <t>Dominic O'Mahoney</t>
  </si>
  <si>
    <t>Gavin Knight</t>
  </si>
  <si>
    <t>Helen Lennon</t>
  </si>
  <si>
    <t>Sarah Harvey</t>
  </si>
  <si>
    <t>Peter Heath</t>
  </si>
  <si>
    <t>Genevieve Case</t>
  </si>
  <si>
    <t>Stephen Forshaw</t>
  </si>
  <si>
    <t>Deborah Jeffrey</t>
  </si>
  <si>
    <t>Julian Manser</t>
  </si>
  <si>
    <t>Peter Donaldson</t>
  </si>
  <si>
    <t>Robert Whittaker</t>
  </si>
  <si>
    <t>Andy Richardson</t>
  </si>
  <si>
    <t>Deal Tri A</t>
  </si>
  <si>
    <t>Richard Baker</t>
  </si>
  <si>
    <t>Andy Noble</t>
  </si>
  <si>
    <t>Andy Philips</t>
  </si>
  <si>
    <t>Simon Read</t>
  </si>
  <si>
    <t>Yvonne Elliott</t>
  </si>
  <si>
    <t>Deal Tri B</t>
  </si>
  <si>
    <t>Folkestone RC  A</t>
  </si>
  <si>
    <t>Shirley Pullen</t>
  </si>
  <si>
    <t>Emma Long</t>
  </si>
  <si>
    <t>Pos</t>
  </si>
  <si>
    <t>Canterbury H A</t>
  </si>
  <si>
    <t>Ashford &amp; Dist A</t>
  </si>
  <si>
    <t>South Kent H A</t>
  </si>
  <si>
    <t>Dover RR A</t>
  </si>
  <si>
    <t>Ashford Tri A</t>
  </si>
  <si>
    <t>Ashford &amp; Dist. B</t>
  </si>
  <si>
    <t>Canterbury H B</t>
  </si>
  <si>
    <t>Canterbury H C</t>
  </si>
  <si>
    <t xml:space="preserve">Total </t>
  </si>
  <si>
    <t>Invicta E K A</t>
  </si>
  <si>
    <t>Thanet RR A</t>
  </si>
  <si>
    <t>Invicta E K B</t>
  </si>
  <si>
    <t>Thanet RR B</t>
  </si>
  <si>
    <t>Ashford &amp; Dist. A</t>
  </si>
  <si>
    <t>Dover RR B</t>
  </si>
  <si>
    <t xml:space="preserve">Thanet RR </t>
  </si>
  <si>
    <t xml:space="preserve">South Kent H </t>
  </si>
  <si>
    <t>A League</t>
  </si>
  <si>
    <t>Senior</t>
  </si>
  <si>
    <t>B League</t>
  </si>
  <si>
    <t>Vet40</t>
  </si>
  <si>
    <t>Vet50</t>
  </si>
  <si>
    <t>Vet60</t>
  </si>
  <si>
    <t>Vet45</t>
  </si>
  <si>
    <t>Vet35</t>
  </si>
  <si>
    <t>Senior Men</t>
  </si>
  <si>
    <t>Senior Ladies</t>
  </si>
  <si>
    <t>South Kent H B</t>
  </si>
  <si>
    <t>Ashford Tri B</t>
  </si>
  <si>
    <t>V40 Men</t>
  </si>
  <si>
    <t>V35 Ladies</t>
  </si>
  <si>
    <t>V50 Men</t>
  </si>
  <si>
    <t>V45 Ladies</t>
  </si>
  <si>
    <t>V60 Men</t>
  </si>
  <si>
    <t>V55 Ladies</t>
  </si>
  <si>
    <t>Juniors</t>
  </si>
  <si>
    <t>Leg 1</t>
  </si>
  <si>
    <t>Leg 2</t>
  </si>
  <si>
    <t>Leg 3</t>
  </si>
  <si>
    <t>Leg 4</t>
  </si>
  <si>
    <t>Ash</t>
  </si>
  <si>
    <t>Fk</t>
  </si>
  <si>
    <t>Ca</t>
  </si>
  <si>
    <t>Tot</t>
  </si>
  <si>
    <t>Mb</t>
  </si>
  <si>
    <t>A LEAGUES</t>
  </si>
  <si>
    <t>B LEAGUES</t>
  </si>
  <si>
    <t>Do</t>
  </si>
  <si>
    <t>A</t>
  </si>
  <si>
    <t>League</t>
  </si>
  <si>
    <t>Marshall Smith</t>
  </si>
  <si>
    <t>Matt Hogben</t>
  </si>
  <si>
    <t>William Perry</t>
  </si>
  <si>
    <t>Laura Segust</t>
  </si>
  <si>
    <t>Alison Jelly</t>
  </si>
  <si>
    <t>Keith Renault</t>
  </si>
  <si>
    <t>Abbi Brissenden</t>
  </si>
  <si>
    <t>Amy Bacmeister</t>
  </si>
  <si>
    <t>Neil Coleman</t>
  </si>
  <si>
    <t>Richard Phillips</t>
  </si>
  <si>
    <t>Jane Elder</t>
  </si>
  <si>
    <t>Jamie Carley</t>
  </si>
  <si>
    <t>Louise Moore</t>
  </si>
  <si>
    <t>Catherine Chapman-Jones</t>
  </si>
  <si>
    <t>Steve Hobbs</t>
  </si>
  <si>
    <t>Peter Hogben</t>
  </si>
  <si>
    <t>Clive Allon</t>
  </si>
  <si>
    <t>Simon Coffey</t>
  </si>
  <si>
    <t>Mike Bond</t>
  </si>
  <si>
    <t>Robin Butler</t>
  </si>
  <si>
    <t>Rosie Day</t>
  </si>
  <si>
    <t>Ashford &amp; Dist. C</t>
  </si>
  <si>
    <t>Alan Kirby</t>
  </si>
  <si>
    <t>Ashford &amp; Dist B</t>
  </si>
  <si>
    <t>Andrew Smith</t>
  </si>
  <si>
    <t>Keith Haynes</t>
  </si>
  <si>
    <t>Jonny Wells</t>
  </si>
  <si>
    <t>Mark Peacock</t>
  </si>
  <si>
    <t>Pat Butler</t>
  </si>
  <si>
    <t>David Winch</t>
  </si>
  <si>
    <t>Glyn Jenkins</t>
  </si>
  <si>
    <t>Terry Brightwell</t>
  </si>
  <si>
    <t>Becky Williams</t>
  </si>
  <si>
    <t>Sandra Hampton</t>
  </si>
  <si>
    <t>Jo Norrington</t>
  </si>
  <si>
    <t>Gary Barnes</t>
  </si>
  <si>
    <t>Kirsty Gardiner</t>
  </si>
  <si>
    <t>Angela Saunders</t>
  </si>
  <si>
    <t>Louise Fowler</t>
  </si>
  <si>
    <t>Margaret Connolly</t>
  </si>
  <si>
    <t xml:space="preserve">Canterbury H </t>
  </si>
  <si>
    <t>Tania Jackson</t>
  </si>
  <si>
    <t>Margaret Riedy</t>
  </si>
  <si>
    <t>Phil Hoyland</t>
  </si>
  <si>
    <t>Lloyd Worsley</t>
  </si>
  <si>
    <t>Aldous Hosking</t>
  </si>
  <si>
    <t>Jack Goss</t>
  </si>
  <si>
    <t>Peter Bowell</t>
  </si>
  <si>
    <t>Michael Gallyer-Barnett</t>
  </si>
  <si>
    <t>Jamie Watson</t>
  </si>
  <si>
    <t>Gerard O'Sullivan</t>
  </si>
  <si>
    <t>Folkestone RC  B</t>
  </si>
  <si>
    <t>East Kent Summer Inter Club Relays - Race 1: Folkestone  17/05/2016   Mens League</t>
  </si>
  <si>
    <t>East Kent Summer Inter Club Relays - Race 1: Folkestone  17/05/2016   Womens League</t>
  </si>
  <si>
    <t>East Kent Summer Inter Club Relays - Race 1: Folkestone  17/05/2016   Junior League</t>
  </si>
  <si>
    <t>Dean Bradshaw</t>
  </si>
  <si>
    <t>Mark Duffy</t>
  </si>
  <si>
    <t>Tom Fentem</t>
  </si>
  <si>
    <t>Tom Jessop</t>
  </si>
  <si>
    <t>Jethro Kimber</t>
  </si>
  <si>
    <t>Stephen Tugwell</t>
  </si>
  <si>
    <t>Simon Jones</t>
  </si>
  <si>
    <t>Geoff Burston</t>
  </si>
  <si>
    <t>Bob Davison</t>
  </si>
  <si>
    <t>Gerry Reilly</t>
  </si>
  <si>
    <t>Ian Stokes</t>
  </si>
  <si>
    <t>Roy Gooderson</t>
  </si>
  <si>
    <t>Bob Pullen</t>
  </si>
  <si>
    <t>Kevin Williams</t>
  </si>
  <si>
    <t>Edward Rodger</t>
  </si>
  <si>
    <t>Nigel Costiff</t>
  </si>
  <si>
    <t>Dan Carter</t>
  </si>
  <si>
    <t>Glen Abel</t>
  </si>
  <si>
    <t>Jim Roberts</t>
  </si>
  <si>
    <t>Danyel Giles</t>
  </si>
  <si>
    <t>Ashford Tri</t>
  </si>
  <si>
    <t>Willow Forrest</t>
  </si>
  <si>
    <t>Harriet Boulden</t>
  </si>
  <si>
    <t>Vivienne Hoang</t>
  </si>
  <si>
    <t>Winta Tekle</t>
  </si>
  <si>
    <t>Darren Daris</t>
  </si>
  <si>
    <t>Son Mathews</t>
  </si>
  <si>
    <t>Andy Philip</t>
  </si>
  <si>
    <t>Dave Gillet</t>
  </si>
  <si>
    <t>James Stroud</t>
  </si>
  <si>
    <t>Dominic Woolford</t>
  </si>
  <si>
    <t>Dave Hallet</t>
  </si>
  <si>
    <t>Tony Scott</t>
  </si>
  <si>
    <t>Paul Bartlett</t>
  </si>
  <si>
    <t>Darren Crew</t>
  </si>
  <si>
    <t>John O'Hara</t>
  </si>
  <si>
    <t>Chris Addison</t>
  </si>
  <si>
    <t>Dave Weekes</t>
  </si>
  <si>
    <t>Grahame Eke</t>
  </si>
  <si>
    <t>Chris Woolgar</t>
  </si>
  <si>
    <t>Alan Fletcher</t>
  </si>
  <si>
    <t>Morgan West</t>
  </si>
  <si>
    <t>Isobel Young</t>
  </si>
  <si>
    <t>Maia Daw</t>
  </si>
  <si>
    <t>Candy Hawkins</t>
  </si>
  <si>
    <t>Joely Catt</t>
  </si>
  <si>
    <t>Jane Wheeler</t>
  </si>
  <si>
    <t>Dave Hunt</t>
  </si>
  <si>
    <t>Dan Green</t>
  </si>
  <si>
    <t>Martin Boucher</t>
  </si>
  <si>
    <t>Kev Gardener</t>
  </si>
  <si>
    <t>Dan Hallet</t>
  </si>
  <si>
    <t>Kate Lancefield</t>
  </si>
  <si>
    <t>Jo Peers</t>
  </si>
  <si>
    <t>Jay Hennebery</t>
  </si>
  <si>
    <t>Carson Medhurst</t>
  </si>
  <si>
    <t>Steve Partridge</t>
  </si>
  <si>
    <t>Robin Harper</t>
  </si>
  <si>
    <t>Adam Tomaszewski</t>
  </si>
  <si>
    <t>Daniel Butcher</t>
  </si>
  <si>
    <t>Ben Thurgate</t>
  </si>
  <si>
    <t>Brian Corlett</t>
  </si>
  <si>
    <t>Phil Brand</t>
  </si>
  <si>
    <t>Ian Leadbetter</t>
  </si>
  <si>
    <t>Michael Brown</t>
  </si>
  <si>
    <t>Leon Goldsack</t>
  </si>
  <si>
    <t>Sarah Brenton</t>
  </si>
  <si>
    <t>Ana Simmonds</t>
  </si>
  <si>
    <t>Sarah Maguire</t>
  </si>
  <si>
    <t>Nicola Charlton</t>
  </si>
  <si>
    <t>Fiona Tester</t>
  </si>
  <si>
    <t>Jennee Gardner</t>
  </si>
  <si>
    <t>Lucy Toland</t>
  </si>
  <si>
    <t>Gemma Jeffrey</t>
  </si>
  <si>
    <t>Theresa Johns</t>
  </si>
  <si>
    <t>Debbie Parris</t>
  </si>
  <si>
    <t>Karen Hoult</t>
  </si>
  <si>
    <t>Vet55</t>
  </si>
  <si>
    <t>Dianne August</t>
  </si>
  <si>
    <t>Catriona Colthart</t>
  </si>
  <si>
    <t>Tina Jones</t>
  </si>
  <si>
    <t>Julie Gibbs</t>
  </si>
  <si>
    <t>Margaret Whitham</t>
  </si>
  <si>
    <t>Trudi Curd</t>
  </si>
  <si>
    <t>Annett Nixon</t>
  </si>
  <si>
    <t>Sarah Stephenson</t>
  </si>
  <si>
    <t>Jenny Phillips</t>
  </si>
  <si>
    <t>Sophie Moore</t>
  </si>
  <si>
    <t>Jo Berry</t>
  </si>
  <si>
    <t>Elaine Ellender</t>
  </si>
  <si>
    <t>Allison Fitz</t>
  </si>
  <si>
    <t>Jane Phillips</t>
  </si>
  <si>
    <t>Michelle Barnes</t>
  </si>
  <si>
    <t>Sylvia Barratt</t>
  </si>
  <si>
    <t>Dover RR C</t>
  </si>
  <si>
    <t>Giselle Tomaszewski</t>
  </si>
  <si>
    <t>Angela Parker</t>
  </si>
  <si>
    <t>Kirsty Harper</t>
  </si>
  <si>
    <t>Lynda Smith</t>
  </si>
  <si>
    <t>Jody Stokes</t>
  </si>
  <si>
    <t>Lucy Weekes</t>
  </si>
  <si>
    <t>Tracey Wilkinson-Begg</t>
  </si>
  <si>
    <t>Hazel Green</t>
  </si>
  <si>
    <t>Jenny Whitehead</t>
  </si>
  <si>
    <t>Martin Kelk</t>
  </si>
  <si>
    <t>Cole Gibbens</t>
  </si>
  <si>
    <t>Joseph Griffiths</t>
  </si>
  <si>
    <t>Deal Tri</t>
  </si>
  <si>
    <t>Devin Hindle</t>
  </si>
  <si>
    <t>Mathew Boucher</t>
  </si>
  <si>
    <t>Ben McGee</t>
  </si>
  <si>
    <t>Kev Marsh</t>
  </si>
  <si>
    <t>Tom Wells</t>
  </si>
  <si>
    <t>Toby Smith</t>
  </si>
  <si>
    <t>Pete Lodge</t>
  </si>
  <si>
    <t>Kev Brown</t>
  </si>
  <si>
    <t>Larry Smith</t>
  </si>
  <si>
    <t>Ian Pettitt</t>
  </si>
  <si>
    <t>Katie North</t>
  </si>
  <si>
    <t>Louise Burton</t>
  </si>
  <si>
    <t>Debi Sykes</t>
  </si>
  <si>
    <t>Lesley Neale</t>
  </si>
  <si>
    <t>Julia Hermitage</t>
  </si>
  <si>
    <t>Claire Greenaway</t>
  </si>
  <si>
    <t>Roz</t>
  </si>
  <si>
    <t>Matthew Jones</t>
  </si>
  <si>
    <t>Richard Purton</t>
  </si>
  <si>
    <t>Julie Howell</t>
  </si>
  <si>
    <t>Lucy Parkinson</t>
  </si>
  <si>
    <t>Lauren Fearn</t>
  </si>
  <si>
    <t>Rachel Winterbottom</t>
  </si>
  <si>
    <t>Mike Hayley</t>
  </si>
  <si>
    <t>Dan Chorlton</t>
  </si>
  <si>
    <t>Peter Russell</t>
  </si>
  <si>
    <t>Suzanne Coleman</t>
  </si>
  <si>
    <t>Helen Bennett</t>
  </si>
  <si>
    <t>Jo Cullen</t>
  </si>
  <si>
    <t>Rhian Shrimplin</t>
  </si>
  <si>
    <t>Kate Williams</t>
  </si>
  <si>
    <t>Orla Quearney</t>
  </si>
  <si>
    <t>Ali Scott</t>
  </si>
  <si>
    <t>Mike Coleman</t>
  </si>
  <si>
    <t>Richard Newsome</t>
  </si>
  <si>
    <t>Marc Carlton</t>
  </si>
  <si>
    <t>Gill Pragnell</t>
  </si>
  <si>
    <t>Christine Costiff</t>
  </si>
  <si>
    <t>Gill O'Connor</t>
  </si>
  <si>
    <t>Triston Burgess</t>
  </si>
  <si>
    <t>Ryan Edwards</t>
  </si>
  <si>
    <t>Jon Pearson</t>
  </si>
  <si>
    <t>Jack Lockerby</t>
  </si>
  <si>
    <t>Ian Dunning</t>
  </si>
  <si>
    <t>???</t>
  </si>
  <si>
    <t>Ali Ward</t>
  </si>
  <si>
    <t>Matthew Hogben</t>
  </si>
  <si>
    <t>Ben Smith</t>
  </si>
  <si>
    <t>Andrew Davies</t>
  </si>
  <si>
    <t>Dean Bracken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</si>
</sst>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6" borderId="15" xfId="0" applyFont="1" applyFill="1" applyBorder="1" applyAlignment="1">
      <alignment vertical="center"/>
    </xf>
    <xf numFmtId="45" fontId="6" fillId="36" borderId="15" xfId="0" applyNumberFormat="1" applyFont="1" applyFill="1" applyBorder="1" applyAlignment="1">
      <alignment horizontal="center" vertical="center"/>
    </xf>
    <xf numFmtId="21" fontId="6" fillId="36" borderId="15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4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1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45" fontId="5" fillId="0" borderId="15" xfId="0" applyNumberFormat="1" applyFont="1" applyFill="1" applyBorder="1" applyAlignment="1">
      <alignment horizontal="center" vertical="center"/>
    </xf>
    <xf numFmtId="21" fontId="5" fillId="0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45" fontId="6" fillId="0" borderId="15" xfId="0" applyNumberFormat="1" applyFont="1" applyFill="1" applyBorder="1" applyAlignment="1">
      <alignment horizontal="center" vertical="center"/>
    </xf>
    <xf numFmtId="2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38" borderId="15" xfId="0" applyFont="1" applyFill="1" applyBorder="1" applyAlignment="1">
      <alignment horizontal="left" vertical="center"/>
    </xf>
    <xf numFmtId="45" fontId="6" fillId="0" borderId="15" xfId="0" applyNumberFormat="1" applyFont="1" applyBorder="1" applyAlignment="1">
      <alignment horizontal="center" vertical="center"/>
    </xf>
    <xf numFmtId="21" fontId="6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5" fontId="4" fillId="0" borderId="15" xfId="0" applyNumberFormat="1" applyFont="1" applyBorder="1" applyAlignment="1">
      <alignment horizontal="center"/>
    </xf>
    <xf numFmtId="45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45" fontId="3" fillId="0" borderId="15" xfId="0" applyNumberFormat="1" applyFont="1" applyBorder="1" applyAlignment="1">
      <alignment horizontal="center" vertical="center"/>
    </xf>
    <xf numFmtId="4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/>
    </xf>
    <xf numFmtId="45" fontId="3" fillId="36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vertical="center"/>
    </xf>
    <xf numFmtId="45" fontId="6" fillId="39" borderId="15" xfId="0" applyNumberFormat="1" applyFont="1" applyFill="1" applyBorder="1" applyAlignment="1">
      <alignment horizontal="center" vertical="center"/>
    </xf>
    <xf numFmtId="45" fontId="5" fillId="36" borderId="15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4" fillId="39" borderId="15" xfId="0" applyFont="1" applyFill="1" applyBorder="1" applyAlignment="1">
      <alignment/>
    </xf>
    <xf numFmtId="45" fontId="4" fillId="39" borderId="15" xfId="0" applyNumberFormat="1" applyFont="1" applyFill="1" applyBorder="1" applyAlignment="1">
      <alignment horizontal="center"/>
    </xf>
    <xf numFmtId="0" fontId="6" fillId="40" borderId="15" xfId="0" applyFont="1" applyFill="1" applyBorder="1" applyAlignment="1">
      <alignment vertical="center"/>
    </xf>
    <xf numFmtId="45" fontId="6" fillId="4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45" fontId="4" fillId="0" borderId="15" xfId="0" applyNumberFormat="1" applyFont="1" applyFill="1" applyBorder="1" applyAlignment="1">
      <alignment horizontal="center" vertical="center"/>
    </xf>
    <xf numFmtId="45" fontId="4" fillId="0" borderId="15" xfId="0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43">
      <selection activeCell="A30" sqref="A30"/>
    </sheetView>
  </sheetViews>
  <sheetFormatPr defaultColWidth="9.140625" defaultRowHeight="15"/>
  <cols>
    <col min="1" max="1" width="5.421875" style="46" customWidth="1"/>
    <col min="2" max="2" width="14.421875" style="12" bestFit="1" customWidth="1"/>
    <col min="3" max="3" width="20.140625" style="12" bestFit="1" customWidth="1"/>
    <col min="4" max="4" width="5.421875" style="48" bestFit="1" customWidth="1"/>
    <col min="5" max="5" width="0.71875" style="48" hidden="1" customWidth="1"/>
    <col min="6" max="6" width="17.28125" style="12" bestFit="1" customWidth="1"/>
    <col min="7" max="7" width="5.421875" style="48" bestFit="1" customWidth="1"/>
    <col min="8" max="8" width="0.71875" style="48" hidden="1" customWidth="1"/>
    <col min="9" max="9" width="17.8515625" style="12" bestFit="1" customWidth="1"/>
    <col min="10" max="10" width="5.421875" style="48" bestFit="1" customWidth="1"/>
    <col min="11" max="11" width="0.71875" style="48" hidden="1" customWidth="1"/>
    <col min="12" max="12" width="15.7109375" style="12" bestFit="1" customWidth="1"/>
    <col min="13" max="13" width="5.421875" style="48" bestFit="1" customWidth="1"/>
    <col min="14" max="14" width="0.71875" style="48" hidden="1" customWidth="1"/>
    <col min="15" max="15" width="7.8515625" style="49" bestFit="1" customWidth="1"/>
    <col min="16" max="16" width="3.421875" style="46" bestFit="1" customWidth="1"/>
    <col min="17" max="18" width="9.140625" style="12" customWidth="1"/>
    <col min="19" max="19" width="12.8515625" style="12" customWidth="1"/>
    <col min="20" max="16384" width="9.140625" style="12" customWidth="1"/>
  </cols>
  <sheetData>
    <row r="1" spans="1:15" s="32" customFormat="1" ht="15">
      <c r="A1" s="31" t="s">
        <v>166</v>
      </c>
      <c r="D1" s="33"/>
      <c r="E1" s="33"/>
      <c r="G1" s="33"/>
      <c r="H1" s="33"/>
      <c r="J1" s="33"/>
      <c r="K1" s="33"/>
      <c r="L1" s="34"/>
      <c r="M1" s="33"/>
      <c r="N1" s="33"/>
      <c r="O1" s="35"/>
    </row>
    <row r="2" spans="1:15" s="32" customFormat="1" ht="12.75">
      <c r="A2" s="36"/>
      <c r="D2" s="33"/>
      <c r="E2" s="33"/>
      <c r="G2" s="33"/>
      <c r="H2" s="33"/>
      <c r="J2" s="33"/>
      <c r="K2" s="33"/>
      <c r="L2" s="34"/>
      <c r="M2" s="33"/>
      <c r="N2" s="33"/>
      <c r="O2" s="35"/>
    </row>
    <row r="3" spans="1:16" s="32" customFormat="1" ht="12.75">
      <c r="A3" s="34" t="s">
        <v>63</v>
      </c>
      <c r="B3" s="37" t="s">
        <v>0</v>
      </c>
      <c r="C3" s="37" t="s">
        <v>100</v>
      </c>
      <c r="D3" s="38" t="s">
        <v>1</v>
      </c>
      <c r="E3" s="38"/>
      <c r="F3" s="37" t="s">
        <v>101</v>
      </c>
      <c r="G3" s="38" t="s">
        <v>1</v>
      </c>
      <c r="H3" s="38"/>
      <c r="I3" s="37" t="s">
        <v>102</v>
      </c>
      <c r="J3" s="38" t="s">
        <v>1</v>
      </c>
      <c r="K3" s="38"/>
      <c r="L3" s="37" t="s">
        <v>103</v>
      </c>
      <c r="M3" s="38" t="s">
        <v>1</v>
      </c>
      <c r="N3" s="38"/>
      <c r="O3" s="39" t="s">
        <v>72</v>
      </c>
      <c r="P3" s="37" t="s">
        <v>23</v>
      </c>
    </row>
    <row r="4" spans="1:16" s="32" customFormat="1" ht="12.75">
      <c r="A4" s="34"/>
      <c r="B4" s="37"/>
      <c r="C4" s="37"/>
      <c r="D4" s="38"/>
      <c r="E4" s="38"/>
      <c r="F4" s="37"/>
      <c r="G4" s="38"/>
      <c r="H4" s="38"/>
      <c r="I4" s="37"/>
      <c r="J4" s="38"/>
      <c r="K4" s="38"/>
      <c r="L4" s="37"/>
      <c r="M4" s="38"/>
      <c r="N4" s="38"/>
      <c r="O4" s="39"/>
      <c r="P4" s="37"/>
    </row>
    <row r="5" spans="1:16" ht="12.75">
      <c r="A5" s="40" t="s">
        <v>82</v>
      </c>
      <c r="B5" s="40" t="s">
        <v>81</v>
      </c>
      <c r="C5" s="19"/>
      <c r="D5" s="20"/>
      <c r="E5" s="20"/>
      <c r="F5" s="19"/>
      <c r="G5" s="20"/>
      <c r="H5" s="20"/>
      <c r="I5" s="19"/>
      <c r="J5" s="20"/>
      <c r="K5" s="20"/>
      <c r="L5" s="19"/>
      <c r="M5" s="20"/>
      <c r="N5" s="20"/>
      <c r="O5" s="21"/>
      <c r="P5" s="26"/>
    </row>
    <row r="6" spans="1:16" s="25" customFormat="1" ht="12.75">
      <c r="A6" s="41">
        <v>1</v>
      </c>
      <c r="B6" s="43" t="s">
        <v>66</v>
      </c>
      <c r="C6" s="25" t="s">
        <v>309</v>
      </c>
      <c r="D6" s="44">
        <f>TIME(0,15,9)</f>
        <v>0.010520833333333333</v>
      </c>
      <c r="E6" s="44"/>
      <c r="F6" s="25" t="s">
        <v>310</v>
      </c>
      <c r="G6" s="44">
        <f>TIME(0,29,0)-D6</f>
        <v>0.009618055555555557</v>
      </c>
      <c r="H6" s="44"/>
      <c r="I6" s="25" t="s">
        <v>311</v>
      </c>
      <c r="J6" s="44">
        <f>TIME(0,43,11)-D6-G6</f>
        <v>0.009849537037037032</v>
      </c>
      <c r="K6" s="44"/>
      <c r="L6" s="25" t="s">
        <v>160</v>
      </c>
      <c r="M6" s="44">
        <f>TIME(0,57,11)-D6-G6-J6</f>
        <v>0.009722222222222226</v>
      </c>
      <c r="N6" s="44"/>
      <c r="O6" s="45">
        <f aca="true" t="shared" si="0" ref="O6:O15">+M6+J6+G6+D6</f>
        <v>0.03971064814814815</v>
      </c>
      <c r="P6" s="41">
        <v>10</v>
      </c>
    </row>
    <row r="7" spans="1:16" s="25" customFormat="1" ht="12.75">
      <c r="A7" s="41">
        <v>2</v>
      </c>
      <c r="B7" s="43" t="s">
        <v>15</v>
      </c>
      <c r="C7" s="25" t="s">
        <v>158</v>
      </c>
      <c r="D7" s="44">
        <f>TIME(0,14,6)</f>
        <v>0.009791666666666666</v>
      </c>
      <c r="E7" s="44"/>
      <c r="F7" s="25" t="s">
        <v>197</v>
      </c>
      <c r="G7" s="44">
        <f>TIME(0,28,41)-D7</f>
        <v>0.010127314814814816</v>
      </c>
      <c r="H7" s="44"/>
      <c r="I7" s="25" t="s">
        <v>157</v>
      </c>
      <c r="J7" s="44">
        <f>TIME(0,43,14)-D7-G7</f>
        <v>0.010104166666666666</v>
      </c>
      <c r="K7" s="44"/>
      <c r="L7" s="25" t="s">
        <v>4</v>
      </c>
      <c r="M7" s="44">
        <f>TIME(0,57,57)-D7-G7-J7</f>
        <v>0.010219907407407412</v>
      </c>
      <c r="N7" s="44"/>
      <c r="O7" s="45">
        <f t="shared" si="0"/>
        <v>0.04024305555555556</v>
      </c>
      <c r="P7" s="41">
        <v>9</v>
      </c>
    </row>
    <row r="8" spans="1:16" s="25" customFormat="1" ht="12.75">
      <c r="A8" s="41">
        <v>3</v>
      </c>
      <c r="B8" s="43" t="s">
        <v>64</v>
      </c>
      <c r="C8" s="25" t="s">
        <v>128</v>
      </c>
      <c r="D8" s="44">
        <f>TIME(0,15,37)</f>
        <v>0.010844907407407407</v>
      </c>
      <c r="E8" s="44"/>
      <c r="F8" s="25" t="s">
        <v>174</v>
      </c>
      <c r="G8" s="44">
        <f>TIME(0,31,1)-D8</f>
        <v>0.010694444444444444</v>
      </c>
      <c r="H8" s="44"/>
      <c r="I8" s="25" t="s">
        <v>175</v>
      </c>
      <c r="J8" s="44">
        <f>TIME(0,45,23)-D8-G8</f>
        <v>0.009976851851851855</v>
      </c>
      <c r="K8" s="44"/>
      <c r="L8" s="25" t="s">
        <v>129</v>
      </c>
      <c r="M8" s="44">
        <f>TIME(1,0,4)-D8-G8-J8</f>
        <v>0.010196759259259253</v>
      </c>
      <c r="N8" s="44"/>
      <c r="O8" s="45">
        <f t="shared" si="0"/>
        <v>0.04171296296296296</v>
      </c>
      <c r="P8" s="41">
        <v>8</v>
      </c>
    </row>
    <row r="9" spans="1:16" s="25" customFormat="1" ht="12.75">
      <c r="A9" s="41">
        <v>4</v>
      </c>
      <c r="B9" s="43" t="s">
        <v>3</v>
      </c>
      <c r="C9" s="25" t="s">
        <v>115</v>
      </c>
      <c r="D9" s="44">
        <f>TIME(0,14,58)</f>
        <v>0.010393518518518519</v>
      </c>
      <c r="E9" s="44"/>
      <c r="F9" s="25" t="s">
        <v>116</v>
      </c>
      <c r="G9" s="44">
        <f>TIME(0,30,22)-D9</f>
        <v>0.010694444444444442</v>
      </c>
      <c r="H9" s="44"/>
      <c r="I9" s="25" t="s">
        <v>182</v>
      </c>
      <c r="J9" s="44">
        <f>TIME(0,46,18)-D9-G9</f>
        <v>0.011064814814814814</v>
      </c>
      <c r="K9" s="44"/>
      <c r="L9" s="25" t="s">
        <v>114</v>
      </c>
      <c r="M9" s="44">
        <f>TIME(1,1,10)-D9-G9-J9</f>
        <v>0.010324074074074074</v>
      </c>
      <c r="N9" s="44"/>
      <c r="O9" s="45">
        <f t="shared" si="0"/>
        <v>0.04247685185185185</v>
      </c>
      <c r="P9" s="41">
        <v>7</v>
      </c>
    </row>
    <row r="10" spans="1:16" s="25" customFormat="1" ht="12.75">
      <c r="A10" s="41">
        <v>5</v>
      </c>
      <c r="B10" s="43" t="s">
        <v>65</v>
      </c>
      <c r="C10" s="25" t="s">
        <v>25</v>
      </c>
      <c r="D10" s="44">
        <v>0.010381944444444444</v>
      </c>
      <c r="E10" s="44"/>
      <c r="F10" s="25" t="s">
        <v>140</v>
      </c>
      <c r="G10" s="44">
        <f>TIME(0,30,43)-D10</f>
        <v>0.010949074074074073</v>
      </c>
      <c r="H10" s="44"/>
      <c r="I10" s="25" t="s">
        <v>326</v>
      </c>
      <c r="J10" s="44">
        <f>TIME(0,46,54)-D10-G10</f>
        <v>0.011238425925925926</v>
      </c>
      <c r="K10" s="44"/>
      <c r="L10" s="25" t="s">
        <v>5</v>
      </c>
      <c r="M10" s="44">
        <f>TIME(1,1,50)-D10-G10-J10</f>
        <v>0.01037037037037037</v>
      </c>
      <c r="N10" s="44"/>
      <c r="O10" s="45">
        <f t="shared" si="0"/>
        <v>0.04293981481481481</v>
      </c>
      <c r="P10" s="41">
        <v>6</v>
      </c>
    </row>
    <row r="11" spans="1:16" s="25" customFormat="1" ht="12.75">
      <c r="A11" s="41">
        <v>6</v>
      </c>
      <c r="B11" s="43" t="s">
        <v>73</v>
      </c>
      <c r="C11" s="25" t="s">
        <v>163</v>
      </c>
      <c r="D11" s="44">
        <f>TIME(0,17,7)</f>
        <v>0.011886574074074075</v>
      </c>
      <c r="E11" s="44"/>
      <c r="F11" s="25" t="s">
        <v>274</v>
      </c>
      <c r="G11" s="44">
        <f>TIME(0,32,3)-D11</f>
        <v>0.010370370370370365</v>
      </c>
      <c r="H11" s="44"/>
      <c r="I11" s="25" t="s">
        <v>125</v>
      </c>
      <c r="J11" s="44">
        <f>TIME(0,47,7)-D11-G11</f>
        <v>0.010462962962962964</v>
      </c>
      <c r="K11" s="44"/>
      <c r="L11" s="25" t="s">
        <v>275</v>
      </c>
      <c r="M11" s="44">
        <f>TIME(1,2,13)-D11-G11-J11</f>
        <v>0.010486111111111114</v>
      </c>
      <c r="N11" s="44"/>
      <c r="O11" s="45">
        <f t="shared" si="0"/>
        <v>0.04320601851851852</v>
      </c>
      <c r="P11" s="41">
        <v>5</v>
      </c>
    </row>
    <row r="12" spans="1:16" s="25" customFormat="1" ht="12.75">
      <c r="A12" s="41">
        <v>7</v>
      </c>
      <c r="B12" s="43" t="s">
        <v>68</v>
      </c>
      <c r="C12" s="25" t="s">
        <v>316</v>
      </c>
      <c r="D12" s="44">
        <f>TIME(0,15,58)</f>
        <v>0.011087962962962964</v>
      </c>
      <c r="E12" s="44"/>
      <c r="F12" s="25" t="s">
        <v>141</v>
      </c>
      <c r="G12" s="44">
        <f>TIME(0,31,34)-D12</f>
        <v>0.010833333333333332</v>
      </c>
      <c r="H12" s="44"/>
      <c r="I12" s="25" t="s">
        <v>317</v>
      </c>
      <c r="J12" s="44">
        <f>TIME(0,48,21)-D12-G12</f>
        <v>0.011655092592592594</v>
      </c>
      <c r="K12" s="44"/>
      <c r="L12" s="25" t="s">
        <v>318</v>
      </c>
      <c r="M12" s="44">
        <f>TIME(1,3,4)-D12-G12-J12</f>
        <v>0.010219907407407405</v>
      </c>
      <c r="N12" s="44"/>
      <c r="O12" s="45">
        <f t="shared" si="0"/>
        <v>0.0437962962962963</v>
      </c>
      <c r="P12" s="41">
        <v>4</v>
      </c>
    </row>
    <row r="13" spans="1:16" s="25" customFormat="1" ht="12.75">
      <c r="A13" s="41">
        <v>8</v>
      </c>
      <c r="B13" s="43" t="s">
        <v>67</v>
      </c>
      <c r="C13" s="25" t="s">
        <v>226</v>
      </c>
      <c r="D13" s="44">
        <f>TIME(0,17,3)</f>
        <v>0.011840277777777778</v>
      </c>
      <c r="E13" s="44"/>
      <c r="F13" s="25" t="s">
        <v>7</v>
      </c>
      <c r="G13" s="44">
        <f>TIME(0,32,12)-D13</f>
        <v>0.010520833333333335</v>
      </c>
      <c r="H13" s="44"/>
      <c r="I13" s="25" t="s">
        <v>227</v>
      </c>
      <c r="J13" s="44">
        <f>TIME(0,51,45)-D13-G13</f>
        <v>0.013576388888888893</v>
      </c>
      <c r="K13" s="44"/>
      <c r="L13" s="25" t="s">
        <v>122</v>
      </c>
      <c r="M13" s="44">
        <f>TIME(1,8,56)-D13-G13-J13</f>
        <v>0.011932870370370366</v>
      </c>
      <c r="N13" s="44"/>
      <c r="O13" s="45">
        <f t="shared" si="0"/>
        <v>0.04787037037037037</v>
      </c>
      <c r="P13" s="41">
        <v>3</v>
      </c>
    </row>
    <row r="14" spans="1:16" s="25" customFormat="1" ht="12.75">
      <c r="A14" s="41">
        <v>9</v>
      </c>
      <c r="B14" s="43" t="s">
        <v>53</v>
      </c>
      <c r="C14" s="25" t="s">
        <v>279</v>
      </c>
      <c r="D14" s="44">
        <f>TIME(0,14,58)</f>
        <v>0.010393518518518519</v>
      </c>
      <c r="E14" s="44"/>
      <c r="F14" s="25" t="s">
        <v>280</v>
      </c>
      <c r="G14" s="44">
        <f>TIME(0,33,52)-D14</f>
        <v>0.013125</v>
      </c>
      <c r="H14" s="44"/>
      <c r="I14" s="25" t="s">
        <v>281</v>
      </c>
      <c r="J14" s="44">
        <f>TIME(0,52,44)-D14-G14</f>
        <v>0.013101851851851856</v>
      </c>
      <c r="K14" s="44"/>
      <c r="L14" s="25" t="s">
        <v>282</v>
      </c>
      <c r="M14" s="44">
        <f>TIME(1,13,19)-D14-G14-J14</f>
        <v>0.014293981481481486</v>
      </c>
      <c r="N14" s="44"/>
      <c r="O14" s="45">
        <f t="shared" si="0"/>
        <v>0.050914351851851856</v>
      </c>
      <c r="P14" s="41">
        <v>2</v>
      </c>
    </row>
    <row r="15" spans="1:16" ht="12.75">
      <c r="A15" s="41">
        <v>10</v>
      </c>
      <c r="B15" s="43" t="s">
        <v>74</v>
      </c>
      <c r="C15" s="25" t="s">
        <v>294</v>
      </c>
      <c r="D15" s="44">
        <f>TIME(0,17,16)</f>
        <v>0.01199074074074074</v>
      </c>
      <c r="E15" s="44"/>
      <c r="F15" s="25" t="s">
        <v>45</v>
      </c>
      <c r="G15" s="44">
        <f>TIME(0,38,38)-D15</f>
        <v>0.014837962962962963</v>
      </c>
      <c r="H15" s="44"/>
      <c r="I15" s="25" t="s">
        <v>295</v>
      </c>
      <c r="J15" s="44">
        <f>TIME(0,58,22)-D15-G15</f>
        <v>0.013703703703703704</v>
      </c>
      <c r="K15" s="44"/>
      <c r="L15" s="25" t="s">
        <v>47</v>
      </c>
      <c r="M15" s="44">
        <f>TIME(1,16,41)-D15-G15-J15</f>
        <v>0.012719907407407409</v>
      </c>
      <c r="N15" s="44"/>
      <c r="O15" s="45">
        <f t="shared" si="0"/>
        <v>0.053252314814814815</v>
      </c>
      <c r="P15" s="41">
        <v>1</v>
      </c>
    </row>
    <row r="16" spans="1:16" s="25" customFormat="1" ht="12.75">
      <c r="A16" s="41"/>
      <c r="B16" s="43"/>
      <c r="D16" s="44"/>
      <c r="E16" s="44"/>
      <c r="G16" s="44"/>
      <c r="H16" s="44"/>
      <c r="J16" s="44"/>
      <c r="K16" s="44"/>
      <c r="M16" s="44"/>
      <c r="N16" s="44"/>
      <c r="O16" s="45"/>
      <c r="P16" s="41"/>
    </row>
    <row r="17" spans="1:16" ht="12.75">
      <c r="A17" s="42"/>
      <c r="B17" s="40" t="s">
        <v>83</v>
      </c>
      <c r="C17" s="19"/>
      <c r="D17" s="20"/>
      <c r="E17" s="20"/>
      <c r="F17" s="19"/>
      <c r="G17" s="20"/>
      <c r="H17" s="20"/>
      <c r="I17" s="19"/>
      <c r="J17" s="20"/>
      <c r="K17" s="20"/>
      <c r="L17" s="19"/>
      <c r="M17" s="20"/>
      <c r="N17" s="20"/>
      <c r="O17" s="21"/>
      <c r="P17" s="26"/>
    </row>
    <row r="18" spans="1:16" s="25" customFormat="1" ht="12.75">
      <c r="A18" s="41">
        <v>1</v>
      </c>
      <c r="B18" s="43" t="s">
        <v>9</v>
      </c>
      <c r="C18" s="25" t="s">
        <v>39</v>
      </c>
      <c r="D18" s="44">
        <f>TIME(0,15,9)</f>
        <v>0.010520833333333333</v>
      </c>
      <c r="E18" s="44"/>
      <c r="F18" s="25" t="s">
        <v>18</v>
      </c>
      <c r="G18" s="44">
        <f>TIME(0,30,29)-D18</f>
        <v>0.01064814814814815</v>
      </c>
      <c r="H18" s="44"/>
      <c r="I18" s="25" t="s">
        <v>198</v>
      </c>
      <c r="J18" s="44">
        <f>TIME(0,46,41)-D18-G18</f>
        <v>0.011249999999999996</v>
      </c>
      <c r="K18" s="44"/>
      <c r="L18" s="25" t="s">
        <v>199</v>
      </c>
      <c r="M18" s="44">
        <f>TIME(1,2,26)-D18-G18-J18</f>
        <v>0.010937499999999996</v>
      </c>
      <c r="N18" s="44"/>
      <c r="O18" s="45">
        <f aca="true" t="shared" si="1" ref="O18:O26">+M18+J18+G18+D18</f>
        <v>0.043356481481481475</v>
      </c>
      <c r="P18" s="41">
        <v>7</v>
      </c>
    </row>
    <row r="19" spans="1:16" ht="12.75">
      <c r="A19" s="41">
        <v>2</v>
      </c>
      <c r="B19" s="43" t="s">
        <v>69</v>
      </c>
      <c r="C19" s="25" t="s">
        <v>322</v>
      </c>
      <c r="D19" s="44">
        <v>0.019363425925925926</v>
      </c>
      <c r="E19" s="44"/>
      <c r="F19" s="25" t="s">
        <v>26</v>
      </c>
      <c r="G19" s="44">
        <f>TIME(0,32,44)-D19</f>
        <v>0.0033680555555555547</v>
      </c>
      <c r="H19" s="44"/>
      <c r="I19" s="25" t="s">
        <v>216</v>
      </c>
      <c r="J19" s="44">
        <f>TIME(0,51,8)-D19-G19</f>
        <v>0.01277777777777778</v>
      </c>
      <c r="K19" s="44"/>
      <c r="L19" s="25" t="s">
        <v>136</v>
      </c>
      <c r="M19" s="44">
        <f>TIME(1,7,50)-D19-G19-J19</f>
        <v>0.011597222222222217</v>
      </c>
      <c r="N19" s="44"/>
      <c r="O19" s="45">
        <f t="shared" si="1"/>
        <v>0.04710648148148148</v>
      </c>
      <c r="P19" s="41">
        <v>6</v>
      </c>
    </row>
    <row r="20" spans="1:16" ht="12.75">
      <c r="A20" s="41">
        <v>3</v>
      </c>
      <c r="B20" s="43" t="s">
        <v>6</v>
      </c>
      <c r="C20" s="25" t="s">
        <v>164</v>
      </c>
      <c r="D20" s="44">
        <f>TIME(0,15,57)</f>
        <v>0.011076388888888887</v>
      </c>
      <c r="E20" s="44"/>
      <c r="F20" s="25" t="s">
        <v>325</v>
      </c>
      <c r="G20" s="44">
        <f>TIME(0,33,49)-D20</f>
        <v>0.01240740740740741</v>
      </c>
      <c r="H20" s="44"/>
      <c r="I20" s="25" t="s">
        <v>324</v>
      </c>
      <c r="J20" s="44">
        <f>TIME(0,51,33)-D20-G20</f>
        <v>0.012314814814814811</v>
      </c>
      <c r="K20" s="44"/>
      <c r="L20" s="25" t="s">
        <v>323</v>
      </c>
      <c r="M20" s="44">
        <f>TIME(1,8,15)-D20-G20-J20</f>
        <v>0.011597222222222226</v>
      </c>
      <c r="N20" s="44"/>
      <c r="O20" s="45">
        <f t="shared" si="1"/>
        <v>0.04739583333333333</v>
      </c>
      <c r="P20" s="41"/>
    </row>
    <row r="21" spans="1:16" ht="12.75">
      <c r="A21" s="41">
        <v>4</v>
      </c>
      <c r="B21" s="43" t="s">
        <v>91</v>
      </c>
      <c r="C21" s="25" t="s">
        <v>185</v>
      </c>
      <c r="D21" s="44">
        <v>0.01064814814814815</v>
      </c>
      <c r="E21" s="44"/>
      <c r="F21" s="25" t="s">
        <v>186</v>
      </c>
      <c r="G21" s="44">
        <f>TIME(0,31,19)-D21</f>
        <v>0.011099537037037036</v>
      </c>
      <c r="H21" s="44"/>
      <c r="I21" s="25" t="s">
        <v>119</v>
      </c>
      <c r="J21" s="44">
        <f>TIME(0,48,57)-D21-G21</f>
        <v>0.012245370370370375</v>
      </c>
      <c r="K21" s="44"/>
      <c r="L21" s="25" t="s">
        <v>187</v>
      </c>
      <c r="M21" s="44">
        <f>TIME(1,9,23)-D21-G21-J21</f>
        <v>0.014189814814814808</v>
      </c>
      <c r="N21" s="44"/>
      <c r="O21" s="45">
        <f t="shared" si="1"/>
        <v>0.04818287037037037</v>
      </c>
      <c r="P21" s="41">
        <v>5</v>
      </c>
    </row>
    <row r="22" spans="1:16" ht="12.75">
      <c r="A22" s="41">
        <v>5</v>
      </c>
      <c r="B22" s="43" t="s">
        <v>70</v>
      </c>
      <c r="C22" s="104" t="s">
        <v>28</v>
      </c>
      <c r="D22" s="44">
        <f>TIME(0,17,20)</f>
        <v>0.012037037037037035</v>
      </c>
      <c r="E22" s="44"/>
      <c r="F22" s="25" t="s">
        <v>169</v>
      </c>
      <c r="G22" s="44">
        <f>TIME(0,33,45)-D22</f>
        <v>0.011400462962962965</v>
      </c>
      <c r="H22" s="44"/>
      <c r="I22" s="25" t="s">
        <v>170</v>
      </c>
      <c r="J22" s="44">
        <f>TIME(0,52,42)-D22-G22</f>
        <v>0.013159722222222227</v>
      </c>
      <c r="K22" s="44"/>
      <c r="L22" s="25" t="s">
        <v>171</v>
      </c>
      <c r="M22" s="44">
        <f>TIME(1,9,33)-D22-G22-J22</f>
        <v>0.011701388888888884</v>
      </c>
      <c r="N22" s="44"/>
      <c r="O22" s="45">
        <f t="shared" si="1"/>
        <v>0.04829861111111111</v>
      </c>
      <c r="P22" s="41">
        <v>4</v>
      </c>
    </row>
    <row r="23" spans="1:16" ht="12.75">
      <c r="A23" s="41">
        <v>6</v>
      </c>
      <c r="B23" s="43" t="s">
        <v>21</v>
      </c>
      <c r="C23" s="25" t="s">
        <v>200</v>
      </c>
      <c r="D23" s="44">
        <f>TIME(0,18,10)</f>
        <v>0.012615740740740742</v>
      </c>
      <c r="E23" s="44"/>
      <c r="F23" s="25" t="s">
        <v>38</v>
      </c>
      <c r="G23" s="44">
        <f>TIME(0,38,39)-D23</f>
        <v>0.014224537037037037</v>
      </c>
      <c r="H23" s="44"/>
      <c r="I23" s="25" t="s">
        <v>159</v>
      </c>
      <c r="J23" s="44">
        <f>TIME(0,56,57)-D23-G23</f>
        <v>0.012708333333333334</v>
      </c>
      <c r="K23" s="44"/>
      <c r="L23" s="25" t="s">
        <v>131</v>
      </c>
      <c r="M23" s="44">
        <f>TIME(1,13,22)-D23-G23-J23</f>
        <v>0.011400462962962961</v>
      </c>
      <c r="N23" s="44"/>
      <c r="O23" s="45">
        <f t="shared" si="1"/>
        <v>0.05094907407407407</v>
      </c>
      <c r="P23" s="41">
        <v>3</v>
      </c>
    </row>
    <row r="24" spans="1:16" ht="12.75">
      <c r="A24" s="41">
        <v>7</v>
      </c>
      <c r="B24" s="43" t="s">
        <v>71</v>
      </c>
      <c r="C24" s="25" t="s">
        <v>56</v>
      </c>
      <c r="D24" s="44">
        <f>TIME(0,16,31)</f>
        <v>0.011469907407407408</v>
      </c>
      <c r="E24" s="44"/>
      <c r="F24" s="25" t="s">
        <v>172</v>
      </c>
      <c r="G24" s="44">
        <f>TIME(0,37,23)-D24</f>
        <v>0.014490740740740742</v>
      </c>
      <c r="H24" s="44"/>
      <c r="I24" s="25" t="s">
        <v>28</v>
      </c>
      <c r="J24" s="44">
        <f>TIME(0,55,16)-D24-G24</f>
        <v>0.012418981481481482</v>
      </c>
      <c r="K24" s="44"/>
      <c r="L24" s="25" t="s">
        <v>173</v>
      </c>
      <c r="M24" s="44">
        <f>TIME(1,13,36)-D24-G24-J24</f>
        <v>0.012731481481481476</v>
      </c>
      <c r="N24" s="44"/>
      <c r="O24" s="45">
        <f t="shared" si="1"/>
        <v>0.05111111111111111</v>
      </c>
      <c r="P24" s="41"/>
    </row>
    <row r="25" spans="1:16" ht="12.75">
      <c r="A25" s="41">
        <v>8</v>
      </c>
      <c r="B25" s="43" t="s">
        <v>92</v>
      </c>
      <c r="C25" s="25" t="s">
        <v>319</v>
      </c>
      <c r="D25" s="44">
        <f>TIME(0,18,30)</f>
        <v>0.012847222222222223</v>
      </c>
      <c r="E25" s="44"/>
      <c r="F25" s="25" t="s">
        <v>320</v>
      </c>
      <c r="G25" s="44">
        <f>TIME(0,40,55)-D25</f>
        <v>0.015567129629629623</v>
      </c>
      <c r="H25" s="44"/>
      <c r="I25" s="25" t="s">
        <v>316</v>
      </c>
      <c r="J25" s="44">
        <f>TIME(0,58,35)-D25-G25</f>
        <v>0.012268518518518528</v>
      </c>
      <c r="K25" s="44"/>
      <c r="L25" s="25" t="s">
        <v>141</v>
      </c>
      <c r="M25" s="44">
        <f>TIME(1,14,41)-D25-G25-J25</f>
        <v>0.011180555555555553</v>
      </c>
      <c r="N25" s="44"/>
      <c r="O25" s="45">
        <f t="shared" si="1"/>
        <v>0.05186342592592593</v>
      </c>
      <c r="P25" s="41">
        <v>2</v>
      </c>
    </row>
    <row r="26" spans="1:16" ht="12.75">
      <c r="A26" s="41">
        <v>9</v>
      </c>
      <c r="B26" s="43" t="s">
        <v>78</v>
      </c>
      <c r="C26" s="25" t="s">
        <v>228</v>
      </c>
      <c r="D26" s="44">
        <f>TIME(0,18,50)</f>
        <v>0.013078703703703703</v>
      </c>
      <c r="E26" s="44"/>
      <c r="F26" s="25" t="s">
        <v>229</v>
      </c>
      <c r="G26" s="44">
        <f>TIME(0,37,32)-D26</f>
        <v>0.012986111111111111</v>
      </c>
      <c r="H26" s="44"/>
      <c r="I26" s="25" t="s">
        <v>230</v>
      </c>
      <c r="J26" s="44">
        <f>TIME(1,0,4)-D26-G26</f>
        <v>0.015648148148148144</v>
      </c>
      <c r="K26" s="44"/>
      <c r="L26" s="25" t="s">
        <v>231</v>
      </c>
      <c r="M26" s="44">
        <f>TIME(1,23,51)-D26-G26-J26</f>
        <v>0.016516203703703703</v>
      </c>
      <c r="N26" s="44"/>
      <c r="O26" s="45">
        <f t="shared" si="1"/>
        <v>0.058229166666666665</v>
      </c>
      <c r="P26" s="41">
        <v>1</v>
      </c>
    </row>
    <row r="27" spans="1:16" s="25" customFormat="1" ht="12.75">
      <c r="A27" s="41"/>
      <c r="B27" s="43" t="s">
        <v>135</v>
      </c>
      <c r="C27" s="25" t="s">
        <v>312</v>
      </c>
      <c r="D27" s="44">
        <f>TIME(0,19,46)</f>
        <v>0.013726851851851851</v>
      </c>
      <c r="E27" s="44"/>
      <c r="G27" s="44"/>
      <c r="H27" s="44"/>
      <c r="J27" s="44"/>
      <c r="K27" s="44"/>
      <c r="M27" s="44"/>
      <c r="N27" s="44"/>
      <c r="O27" s="45"/>
      <c r="P27" s="41"/>
    </row>
    <row r="28" spans="1:16" ht="12.75">
      <c r="A28" s="41"/>
      <c r="B28" s="43" t="s">
        <v>59</v>
      </c>
      <c r="C28" s="25" t="s">
        <v>283</v>
      </c>
      <c r="D28" s="44">
        <v>0.013900462962962962</v>
      </c>
      <c r="E28" s="44"/>
      <c r="F28" s="25"/>
      <c r="G28" s="44"/>
      <c r="H28" s="44"/>
      <c r="I28" s="25"/>
      <c r="J28" s="44"/>
      <c r="K28" s="44"/>
      <c r="L28" s="25"/>
      <c r="M28" s="44"/>
      <c r="N28" s="44"/>
      <c r="O28" s="45"/>
      <c r="P28" s="41"/>
    </row>
    <row r="29" spans="1:16" ht="12.75">
      <c r="A29" s="40" t="s">
        <v>84</v>
      </c>
      <c r="B29" s="40" t="s">
        <v>81</v>
      </c>
      <c r="C29" s="19"/>
      <c r="D29" s="20"/>
      <c r="E29" s="20"/>
      <c r="F29" s="19"/>
      <c r="G29" s="20"/>
      <c r="H29" s="20"/>
      <c r="I29" s="19"/>
      <c r="J29" s="20"/>
      <c r="K29" s="20"/>
      <c r="L29" s="19"/>
      <c r="M29" s="20"/>
      <c r="N29" s="20"/>
      <c r="O29" s="21"/>
      <c r="P29" s="26"/>
    </row>
    <row r="30" spans="1:16" ht="12.75">
      <c r="A30" s="41">
        <v>1</v>
      </c>
      <c r="B30" s="43" t="s">
        <v>73</v>
      </c>
      <c r="C30" s="25" t="s">
        <v>273</v>
      </c>
      <c r="D30" s="44">
        <f>TIME(0,15,35)</f>
        <v>0.01082175925925926</v>
      </c>
      <c r="E30" s="44"/>
      <c r="F30" s="25" t="s">
        <v>41</v>
      </c>
      <c r="G30" s="44">
        <f>TIME(0,29,13)-D30</f>
        <v>0.00946759259259259</v>
      </c>
      <c r="H30" s="44"/>
      <c r="I30" s="25" t="s">
        <v>40</v>
      </c>
      <c r="J30" s="44">
        <f>TIME(0,45,26)-D30-G30</f>
        <v>0.01126157407407407</v>
      </c>
      <c r="K30" s="96"/>
      <c r="L30" s="25" t="s">
        <v>50</v>
      </c>
      <c r="M30" s="44">
        <f>TIME(1,1,32)-D30-G30-J30</f>
        <v>0.011180555555555562</v>
      </c>
      <c r="N30" s="44"/>
      <c r="O30" s="45">
        <f>+M30+J30+G30+D30</f>
        <v>0.04273148148148148</v>
      </c>
      <c r="P30" s="41">
        <v>5</v>
      </c>
    </row>
    <row r="31" spans="1:16" ht="12.75">
      <c r="A31" s="41">
        <v>2</v>
      </c>
      <c r="B31" s="43" t="s">
        <v>65</v>
      </c>
      <c r="C31" s="25" t="s">
        <v>217</v>
      </c>
      <c r="D31" s="44">
        <v>0.01064814814814815</v>
      </c>
      <c r="E31" s="44"/>
      <c r="F31" s="25" t="s">
        <v>133</v>
      </c>
      <c r="G31" s="44">
        <f>TIME(0,31,13)-D31</f>
        <v>0.011030092592592588</v>
      </c>
      <c r="H31" s="44"/>
      <c r="I31" s="25" t="s">
        <v>54</v>
      </c>
      <c r="J31" s="44">
        <f>TIME(0,47,32)-D31-G31</f>
        <v>0.011331018518518522</v>
      </c>
      <c r="K31" s="96"/>
      <c r="L31" s="25" t="s">
        <v>12</v>
      </c>
      <c r="M31" s="44">
        <f>TIME(1,3,53)-D31-G31-J31</f>
        <v>0.011354166666666665</v>
      </c>
      <c r="N31" s="44"/>
      <c r="O31" s="45">
        <f>+M31+J31+G31+D31</f>
        <v>0.044363425925925924</v>
      </c>
      <c r="P31" s="41">
        <v>4</v>
      </c>
    </row>
    <row r="32" spans="1:16" ht="12.75">
      <c r="A32" s="41">
        <v>3</v>
      </c>
      <c r="B32" s="43" t="s">
        <v>15</v>
      </c>
      <c r="C32" s="25" t="s">
        <v>35</v>
      </c>
      <c r="D32" s="44">
        <f>TIME(0,15,51)</f>
        <v>0.011006944444444444</v>
      </c>
      <c r="E32" s="44"/>
      <c r="F32" s="25" t="s">
        <v>52</v>
      </c>
      <c r="G32" s="44">
        <f>TIME(0,33,40)-D32</f>
        <v>0.012372685185185184</v>
      </c>
      <c r="H32" s="44"/>
      <c r="I32" s="25" t="s">
        <v>203</v>
      </c>
      <c r="J32" s="44">
        <f>TIME(0,50,29)-D32-G32</f>
        <v>0.011678240740740743</v>
      </c>
      <c r="K32" s="96"/>
      <c r="L32" s="25" t="s">
        <v>201</v>
      </c>
      <c r="M32" s="44">
        <f>TIME(1,9,20)-D32-G32-J32</f>
        <v>0.01309027777777777</v>
      </c>
      <c r="N32" s="44"/>
      <c r="O32" s="45">
        <f>+M32+J32+G32+D32</f>
        <v>0.04814814814814814</v>
      </c>
      <c r="P32" s="41">
        <v>3</v>
      </c>
    </row>
    <row r="33" spans="1:16" ht="12.75">
      <c r="A33" s="41">
        <v>4</v>
      </c>
      <c r="B33" s="43" t="s">
        <v>67</v>
      </c>
      <c r="C33" s="25" t="s">
        <v>20</v>
      </c>
      <c r="D33" s="44">
        <v>0.013773148148148147</v>
      </c>
      <c r="E33" s="25"/>
      <c r="F33" s="25" t="s">
        <v>224</v>
      </c>
      <c r="G33" s="44">
        <f>TIME(0,37,26)-D33</f>
        <v>0.01222222222222222</v>
      </c>
      <c r="H33" s="44"/>
      <c r="I33" s="25" t="s">
        <v>225</v>
      </c>
      <c r="J33" s="44">
        <f>TIME(0,58,22)-D33-G33</f>
        <v>0.014537037037037041</v>
      </c>
      <c r="K33" s="96"/>
      <c r="L33" s="25" t="s">
        <v>49</v>
      </c>
      <c r="M33" s="44">
        <f>TIME(1,19,18)-G33-J33-D33</f>
        <v>0.014537037037037041</v>
      </c>
      <c r="N33" s="44"/>
      <c r="O33" s="45">
        <f>+M33+J33+G33+D33</f>
        <v>0.05506944444444445</v>
      </c>
      <c r="P33" s="41">
        <v>2</v>
      </c>
    </row>
    <row r="34" spans="1:16" ht="12.75">
      <c r="A34" s="41">
        <v>5</v>
      </c>
      <c r="B34" s="43" t="s">
        <v>53</v>
      </c>
      <c r="C34" s="25" t="s">
        <v>218</v>
      </c>
      <c r="D34" s="44">
        <v>0.011412037037037038</v>
      </c>
      <c r="E34" s="25"/>
      <c r="F34" s="25" t="s">
        <v>219</v>
      </c>
      <c r="G34" s="44">
        <f>TIME(0,36,25)-D34</f>
        <v>0.013877314814814813</v>
      </c>
      <c r="H34" s="44"/>
      <c r="I34" s="25" t="s">
        <v>220</v>
      </c>
      <c r="J34" s="44">
        <f>TIME(1,0,55)-D34-G34</f>
        <v>0.017013888888888884</v>
      </c>
      <c r="K34" s="96"/>
      <c r="L34" s="102" t="s">
        <v>29</v>
      </c>
      <c r="M34" s="103" t="s">
        <v>321</v>
      </c>
      <c r="N34" s="96"/>
      <c r="O34" s="45" t="e">
        <f>+M34+J34+G34+D34</f>
        <v>#VALUE!</v>
      </c>
      <c r="P34" s="41">
        <v>1</v>
      </c>
    </row>
    <row r="35" spans="1:16" ht="12.75">
      <c r="A35" s="41"/>
      <c r="B35" s="43" t="s">
        <v>64</v>
      </c>
      <c r="C35" s="25" t="s">
        <v>194</v>
      </c>
      <c r="D35" s="44">
        <v>0.013773148148148147</v>
      </c>
      <c r="E35" s="44"/>
      <c r="F35" s="25" t="s">
        <v>195</v>
      </c>
      <c r="G35" s="44">
        <f>TIME(0,35,44)-D35</f>
        <v>0.01104166666666667</v>
      </c>
      <c r="H35" s="44"/>
      <c r="I35" s="25" t="s">
        <v>196</v>
      </c>
      <c r="J35" s="44">
        <f>TIME(0,52,45)-D35-G35</f>
        <v>0.01181712962962963</v>
      </c>
      <c r="K35" s="96"/>
      <c r="L35" s="25"/>
      <c r="M35" s="44"/>
      <c r="N35" s="44"/>
      <c r="O35" s="45"/>
      <c r="P35" s="41"/>
    </row>
    <row r="36" spans="1:16" ht="12.75">
      <c r="A36" s="36"/>
      <c r="B36" s="40" t="s">
        <v>83</v>
      </c>
      <c r="C36" s="19"/>
      <c r="D36" s="20"/>
      <c r="E36" s="20"/>
      <c r="F36" s="19"/>
      <c r="G36" s="20"/>
      <c r="H36" s="20"/>
      <c r="I36" s="19"/>
      <c r="J36" s="20" t="s">
        <v>2</v>
      </c>
      <c r="K36" s="20"/>
      <c r="L36" s="19"/>
      <c r="M36" s="20" t="s">
        <v>2</v>
      </c>
      <c r="N36" s="20"/>
      <c r="O36" s="21" t="s">
        <v>2</v>
      </c>
      <c r="P36" s="26"/>
    </row>
    <row r="37" spans="1:16" ht="12.75">
      <c r="A37" s="41">
        <v>1</v>
      </c>
      <c r="B37" s="43" t="s">
        <v>9</v>
      </c>
      <c r="C37" s="25" t="s">
        <v>202</v>
      </c>
      <c r="D37" s="44">
        <f>TIME(0,17,51)</f>
        <v>0.012395833333333335</v>
      </c>
      <c r="E37" s="44"/>
      <c r="F37" s="25" t="s">
        <v>138</v>
      </c>
      <c r="G37" s="44">
        <f>TIME(0,37,20)-D37</f>
        <v>0.01353009259259259</v>
      </c>
      <c r="H37" s="44"/>
      <c r="I37" s="25" t="s">
        <v>130</v>
      </c>
      <c r="J37" s="44">
        <f>TIME(0,57,15)-D37-G37</f>
        <v>0.013831018518518524</v>
      </c>
      <c r="K37" s="44"/>
      <c r="L37" s="25" t="s">
        <v>204</v>
      </c>
      <c r="M37" s="44">
        <f>TIME(1,18,40)-D37-G37-J37</f>
        <v>0.014872685185185183</v>
      </c>
      <c r="N37" s="44"/>
      <c r="O37" s="45">
        <f>+M37+J37+G37+D37</f>
        <v>0.05462962962962963</v>
      </c>
      <c r="P37" s="41">
        <v>1</v>
      </c>
    </row>
    <row r="38" spans="1:16" ht="12.75">
      <c r="A38" s="41"/>
      <c r="B38" s="43" t="s">
        <v>137</v>
      </c>
      <c r="C38" s="25" t="s">
        <v>24</v>
      </c>
      <c r="D38" s="44">
        <v>0.011458333333333334</v>
      </c>
      <c r="E38" s="44"/>
      <c r="F38" s="25" t="s">
        <v>139</v>
      </c>
      <c r="G38" s="44">
        <f>TIME(0,33,14)-D38</f>
        <v>0.011620370370370368</v>
      </c>
      <c r="H38" s="44"/>
      <c r="I38" s="25"/>
      <c r="J38" s="44"/>
      <c r="K38" s="44"/>
      <c r="L38" s="25"/>
      <c r="M38" s="44"/>
      <c r="N38" s="44"/>
      <c r="O38" s="45">
        <f>+M38+J38+G38+D38</f>
        <v>0.023078703703703702</v>
      </c>
      <c r="P38" s="41"/>
    </row>
    <row r="39" spans="1:16" ht="12.75">
      <c r="A39" s="41"/>
      <c r="B39" s="43" t="s">
        <v>21</v>
      </c>
      <c r="C39" s="25" t="s">
        <v>205</v>
      </c>
      <c r="D39" s="44">
        <f>TIME(0,17,15)</f>
        <v>0.011979166666666666</v>
      </c>
      <c r="E39" s="44"/>
      <c r="F39" s="25"/>
      <c r="G39" s="44"/>
      <c r="H39" s="44"/>
      <c r="I39" s="25"/>
      <c r="J39" s="44"/>
      <c r="K39" s="44"/>
      <c r="L39" s="25"/>
      <c r="M39" s="44"/>
      <c r="N39" s="44"/>
      <c r="O39" s="45"/>
      <c r="P39" s="41"/>
    </row>
    <row r="40" spans="1:16" ht="12.75">
      <c r="A40" s="41"/>
      <c r="B40" s="43" t="s">
        <v>73</v>
      </c>
      <c r="C40" s="25" t="s">
        <v>162</v>
      </c>
      <c r="D40" s="44">
        <f>TIME(0,34,43)-D30</f>
        <v>0.013287037037037038</v>
      </c>
      <c r="E40" s="44"/>
      <c r="F40" s="25"/>
      <c r="G40" s="44"/>
      <c r="H40" s="44"/>
      <c r="I40" s="25"/>
      <c r="J40" s="44"/>
      <c r="K40" s="44"/>
      <c r="L40" s="25"/>
      <c r="M40" s="44"/>
      <c r="N40" s="44"/>
      <c r="O40" s="45"/>
      <c r="P40" s="41"/>
    </row>
    <row r="41" spans="1:16" ht="12.75">
      <c r="A41" s="40" t="s">
        <v>85</v>
      </c>
      <c r="B41" s="40" t="s">
        <v>81</v>
      </c>
      <c r="D41" s="20"/>
      <c r="E41" s="20"/>
      <c r="F41" s="19"/>
      <c r="G41" s="20"/>
      <c r="H41" s="20"/>
      <c r="I41" s="19"/>
      <c r="J41" s="20"/>
      <c r="K41" s="20"/>
      <c r="L41" s="19"/>
      <c r="M41" s="20"/>
      <c r="N41" s="20"/>
      <c r="O41" s="21"/>
      <c r="P41" s="26"/>
    </row>
    <row r="42" spans="1:16" ht="12.75">
      <c r="A42" s="41">
        <v>1</v>
      </c>
      <c r="B42" s="43" t="s">
        <v>15</v>
      </c>
      <c r="C42" s="25" t="s">
        <v>206</v>
      </c>
      <c r="D42" s="44">
        <f>TIME(0,14,51)</f>
        <v>0.0103125</v>
      </c>
      <c r="E42" s="44"/>
      <c r="F42" s="25" t="s">
        <v>55</v>
      </c>
      <c r="G42" s="44">
        <f>TIME(0,30,51)-D42</f>
        <v>0.011111111111111112</v>
      </c>
      <c r="H42" s="44"/>
      <c r="I42" s="25" t="s">
        <v>36</v>
      </c>
      <c r="J42" s="44">
        <f>TIME(0,50,24)-D42-G42</f>
        <v>0.013576388888888883</v>
      </c>
      <c r="K42" s="44"/>
      <c r="L42" s="25"/>
      <c r="M42" s="44"/>
      <c r="N42" s="44"/>
      <c r="O42" s="45">
        <f aca="true" t="shared" si="2" ref="O42:O47">+J42+G42+D42</f>
        <v>0.034999999999999996</v>
      </c>
      <c r="P42" s="41">
        <v>6</v>
      </c>
    </row>
    <row r="43" spans="1:16" ht="12.75">
      <c r="A43" s="41">
        <v>2</v>
      </c>
      <c r="B43" s="43" t="s">
        <v>53</v>
      </c>
      <c r="C43" s="25" t="s">
        <v>57</v>
      </c>
      <c r="D43" s="44">
        <f>TIME(0,19,52)</f>
        <v>0.013796296296296298</v>
      </c>
      <c r="E43" s="44"/>
      <c r="F43" s="25" t="s">
        <v>284</v>
      </c>
      <c r="G43" s="44">
        <f>TIME(0,36,49)-D43</f>
        <v>0.011770833333333336</v>
      </c>
      <c r="H43" s="44"/>
      <c r="I43" s="25" t="s">
        <v>30</v>
      </c>
      <c r="J43" s="44">
        <f>TIME(0,54,25)-D43-G43</f>
        <v>0.012222222222222216</v>
      </c>
      <c r="K43" s="44"/>
      <c r="L43" s="25"/>
      <c r="M43" s="44"/>
      <c r="N43" s="44"/>
      <c r="O43" s="45">
        <f t="shared" si="2"/>
        <v>0.03778935185185185</v>
      </c>
      <c r="P43" s="41">
        <v>5</v>
      </c>
    </row>
    <row r="44" spans="1:16" ht="12.75">
      <c r="A44" s="41">
        <v>3</v>
      </c>
      <c r="B44" s="43" t="s">
        <v>73</v>
      </c>
      <c r="C44" s="25" t="s">
        <v>51</v>
      </c>
      <c r="D44" s="44">
        <f>TIME(0,15,22)</f>
        <v>0.010671296296296297</v>
      </c>
      <c r="E44" s="44"/>
      <c r="F44" s="25" t="s">
        <v>42</v>
      </c>
      <c r="G44" s="44">
        <f>TIME(0,36,40)-D44</f>
        <v>0.014791666666666665</v>
      </c>
      <c r="H44" s="44"/>
      <c r="I44" s="25" t="s">
        <v>161</v>
      </c>
      <c r="J44" s="44">
        <f>TIME(0,55,21)-D44-G44</f>
        <v>0.012974537037037038</v>
      </c>
      <c r="K44" s="44"/>
      <c r="L44" s="25"/>
      <c r="M44" s="44"/>
      <c r="N44" s="44"/>
      <c r="O44" s="45">
        <f t="shared" si="2"/>
        <v>0.0384375</v>
      </c>
      <c r="P44" s="41">
        <v>4</v>
      </c>
    </row>
    <row r="45" spans="1:16" ht="12.75">
      <c r="A45" s="41">
        <v>4</v>
      </c>
      <c r="B45" s="43" t="s">
        <v>67</v>
      </c>
      <c r="C45" s="25" t="s">
        <v>149</v>
      </c>
      <c r="D45" s="44">
        <v>0.011435185185185185</v>
      </c>
      <c r="E45" s="44"/>
      <c r="F45" s="25" t="s">
        <v>232</v>
      </c>
      <c r="G45" s="44">
        <f>TIME(0,36,38)-D45</f>
        <v>0.014004629629629629</v>
      </c>
      <c r="H45" s="44"/>
      <c r="I45" s="25" t="s">
        <v>233</v>
      </c>
      <c r="J45" s="44">
        <f>TIME(0,56,2)-D45-G45</f>
        <v>0.01347222222222222</v>
      </c>
      <c r="K45" s="44"/>
      <c r="L45" s="25"/>
      <c r="M45" s="44"/>
      <c r="N45" s="44"/>
      <c r="O45" s="45">
        <f t="shared" si="2"/>
        <v>0.03891203703703704</v>
      </c>
      <c r="P45" s="41">
        <v>3</v>
      </c>
    </row>
    <row r="46" spans="1:16" ht="12.75">
      <c r="A46" s="41">
        <v>5</v>
      </c>
      <c r="B46" s="43" t="s">
        <v>77</v>
      </c>
      <c r="C46" s="25" t="s">
        <v>142</v>
      </c>
      <c r="D46" s="44">
        <f>TIME(0,16,0)</f>
        <v>0.011111111111111112</v>
      </c>
      <c r="E46" s="44"/>
      <c r="F46" s="25" t="s">
        <v>183</v>
      </c>
      <c r="G46" s="44">
        <f>TIME(0,35,45)-D46</f>
        <v>0.013715277777777776</v>
      </c>
      <c r="H46" s="44"/>
      <c r="I46" s="25" t="s">
        <v>184</v>
      </c>
      <c r="J46" s="44">
        <f>TIME(0,58,10)-D46-G46</f>
        <v>0.015567129629629627</v>
      </c>
      <c r="K46" s="44"/>
      <c r="L46" s="25"/>
      <c r="M46" s="44"/>
      <c r="N46" s="44"/>
      <c r="O46" s="45">
        <f t="shared" si="2"/>
        <v>0.040393518518518516</v>
      </c>
      <c r="P46" s="41">
        <v>2</v>
      </c>
    </row>
    <row r="47" spans="1:16" ht="12.75">
      <c r="A47" s="41">
        <v>6</v>
      </c>
      <c r="B47" s="43" t="s">
        <v>64</v>
      </c>
      <c r="C47" s="25" t="s">
        <v>179</v>
      </c>
      <c r="D47" s="44">
        <v>0.011377314814814814</v>
      </c>
      <c r="E47" s="44"/>
      <c r="F47" s="25" t="s">
        <v>180</v>
      </c>
      <c r="G47" s="44">
        <f>TIME(0,37,43)-D47</f>
        <v>0.014814814814814817</v>
      </c>
      <c r="H47" s="44"/>
      <c r="I47" s="25" t="s">
        <v>181</v>
      </c>
      <c r="J47" s="44">
        <f>TIME(0,59,48)-D47-G47</f>
        <v>0.015335648148148145</v>
      </c>
      <c r="K47" s="44"/>
      <c r="L47" s="25"/>
      <c r="M47" s="44"/>
      <c r="N47" s="44"/>
      <c r="O47" s="45">
        <f t="shared" si="2"/>
        <v>0.041527777777777775</v>
      </c>
      <c r="P47" s="41">
        <v>1</v>
      </c>
    </row>
    <row r="48" spans="1:16" ht="12.75">
      <c r="A48" s="26"/>
      <c r="B48" s="22"/>
      <c r="C48" s="19"/>
      <c r="D48" s="20"/>
      <c r="E48" s="20"/>
      <c r="F48" s="19"/>
      <c r="G48" s="20"/>
      <c r="H48" s="20"/>
      <c r="I48" s="19"/>
      <c r="J48" s="20"/>
      <c r="K48" s="20"/>
      <c r="L48" s="19"/>
      <c r="M48" s="20"/>
      <c r="N48" s="20"/>
      <c r="O48" s="21"/>
      <c r="P48" s="26"/>
    </row>
    <row r="49" spans="1:16" ht="12.75">
      <c r="A49" s="47"/>
      <c r="B49" s="40" t="s">
        <v>83</v>
      </c>
      <c r="C49" s="19"/>
      <c r="D49" s="20"/>
      <c r="E49" s="20"/>
      <c r="F49" s="19"/>
      <c r="G49" s="20"/>
      <c r="H49" s="20"/>
      <c r="I49" s="19"/>
      <c r="J49" s="20"/>
      <c r="K49" s="20"/>
      <c r="L49" s="19"/>
      <c r="M49" s="20"/>
      <c r="N49" s="20"/>
      <c r="O49" s="21"/>
      <c r="P49" s="26"/>
    </row>
    <row r="50" spans="1:16" ht="12.75">
      <c r="A50" s="41"/>
      <c r="B50" s="43" t="s">
        <v>78</v>
      </c>
      <c r="C50" s="25" t="s">
        <v>234</v>
      </c>
      <c r="D50" s="44">
        <v>0.019293981481481485</v>
      </c>
      <c r="E50" s="20"/>
      <c r="F50" s="19"/>
      <c r="G50" s="20"/>
      <c r="H50" s="20"/>
      <c r="I50" s="19"/>
      <c r="J50" s="20"/>
      <c r="K50" s="20"/>
      <c r="L50" s="19"/>
      <c r="M50" s="20"/>
      <c r="N50" s="20"/>
      <c r="O50" s="21"/>
      <c r="P50" s="26"/>
    </row>
    <row r="51" spans="1:16" ht="12.75">
      <c r="A51" s="40" t="s">
        <v>86</v>
      </c>
      <c r="B51" s="40" t="s">
        <v>81</v>
      </c>
      <c r="C51" s="19"/>
      <c r="D51" s="20"/>
      <c r="E51" s="20"/>
      <c r="F51" s="19"/>
      <c r="G51" s="20"/>
      <c r="H51" s="20"/>
      <c r="I51" s="19"/>
      <c r="J51" s="20"/>
      <c r="K51" s="20"/>
      <c r="L51" s="19"/>
      <c r="M51" s="20"/>
      <c r="N51" s="20"/>
      <c r="O51" s="21"/>
      <c r="P51" s="26"/>
    </row>
    <row r="52" spans="1:16" ht="12.75">
      <c r="A52" s="41">
        <v>1</v>
      </c>
      <c r="B52" s="43" t="s">
        <v>154</v>
      </c>
      <c r="C52" s="25" t="s">
        <v>176</v>
      </c>
      <c r="D52" s="44">
        <f>TIME(0,20,28)</f>
        <v>0.014212962962962962</v>
      </c>
      <c r="E52" s="44"/>
      <c r="F52" s="25" t="s">
        <v>177</v>
      </c>
      <c r="G52" s="44">
        <f>TIME(0,39,3)-D52</f>
        <v>0.01290509259259259</v>
      </c>
      <c r="H52" s="44"/>
      <c r="I52" s="25" t="s">
        <v>178</v>
      </c>
      <c r="J52" s="44">
        <f>TIME(0,59,55)-D52-G52</f>
        <v>0.014490740740740745</v>
      </c>
      <c r="K52" s="44"/>
      <c r="L52" s="25"/>
      <c r="M52" s="44"/>
      <c r="N52" s="44"/>
      <c r="O52" s="45">
        <f aca="true" t="shared" si="3" ref="O52:O57">+J52+G52+D52</f>
        <v>0.041608796296296297</v>
      </c>
      <c r="P52" s="41">
        <v>6</v>
      </c>
    </row>
    <row r="53" spans="1:16" ht="12.75">
      <c r="A53" s="41">
        <v>2</v>
      </c>
      <c r="B53" s="43" t="s">
        <v>15</v>
      </c>
      <c r="C53" s="25" t="s">
        <v>207</v>
      </c>
      <c r="D53" s="44">
        <f>TIME(0,21,15)</f>
        <v>0.014756944444444446</v>
      </c>
      <c r="E53" s="44"/>
      <c r="F53" s="25" t="s">
        <v>208</v>
      </c>
      <c r="G53" s="44">
        <f>TIME(0,40,16)-D53</f>
        <v>0.013206018518518518</v>
      </c>
      <c r="H53" s="44"/>
      <c r="I53" s="25" t="s">
        <v>209</v>
      </c>
      <c r="J53" s="44">
        <f>TIME(1,0,4)-D53-G53</f>
        <v>0.013749999999999993</v>
      </c>
      <c r="K53" s="44"/>
      <c r="L53" s="25"/>
      <c r="M53" s="44"/>
      <c r="N53" s="44"/>
      <c r="O53" s="45">
        <f t="shared" si="3"/>
        <v>0.04171296296296296</v>
      </c>
      <c r="P53" s="41">
        <v>5</v>
      </c>
    </row>
    <row r="54" spans="1:16" ht="12.75">
      <c r="A54" s="41">
        <v>3</v>
      </c>
      <c r="B54" s="43" t="s">
        <v>74</v>
      </c>
      <c r="C54" s="25" t="s">
        <v>143</v>
      </c>
      <c r="D54" s="44">
        <f>TIME(0,17,28)</f>
        <v>0.012129629629629629</v>
      </c>
      <c r="E54" s="44"/>
      <c r="F54" s="25" t="s">
        <v>145</v>
      </c>
      <c r="G54" s="44">
        <f>TIME(0,39,56)-D54</f>
        <v>0.01560185185185185</v>
      </c>
      <c r="H54" s="44"/>
      <c r="I54" s="25" t="s">
        <v>144</v>
      </c>
      <c r="J54" s="44">
        <f>TIME(1,0,21)-D54-G54</f>
        <v>0.014178240740740745</v>
      </c>
      <c r="K54" s="44"/>
      <c r="L54" s="25"/>
      <c r="M54" s="44"/>
      <c r="N54" s="44"/>
      <c r="O54" s="45">
        <f t="shared" si="3"/>
        <v>0.04190972222222222</v>
      </c>
      <c r="P54" s="41">
        <v>4</v>
      </c>
    </row>
    <row r="55" spans="1:16" ht="12.75">
      <c r="A55" s="41">
        <v>4</v>
      </c>
      <c r="B55" s="43" t="s">
        <v>66</v>
      </c>
      <c r="C55" s="25" t="s">
        <v>300</v>
      </c>
      <c r="D55" s="44">
        <f>TIME(0,17,11)</f>
        <v>0.011932870370370371</v>
      </c>
      <c r="E55" s="44"/>
      <c r="F55" s="25" t="s">
        <v>301</v>
      </c>
      <c r="G55" s="44">
        <f>TIME(0,42,49)-D55</f>
        <v>0.01780092592592593</v>
      </c>
      <c r="H55" s="44"/>
      <c r="I55" s="25" t="s">
        <v>302</v>
      </c>
      <c r="J55" s="44">
        <f>TIME(1,1,38)-D55-G55</f>
        <v>0.01306712962962963</v>
      </c>
      <c r="K55" s="44"/>
      <c r="L55" s="25"/>
      <c r="M55" s="44"/>
      <c r="N55" s="44"/>
      <c r="O55" s="45">
        <f t="shared" si="3"/>
        <v>0.04280092592592593</v>
      </c>
      <c r="P55" s="41">
        <v>3</v>
      </c>
    </row>
    <row r="56" spans="1:16" ht="12.75">
      <c r="A56" s="41">
        <v>5</v>
      </c>
      <c r="B56" s="43" t="s">
        <v>53</v>
      </c>
      <c r="C56" s="25" t="s">
        <v>286</v>
      </c>
      <c r="D56" s="44">
        <f>TIME(0,20,47)</f>
        <v>0.014432870370370372</v>
      </c>
      <c r="E56" s="44"/>
      <c r="F56" s="25" t="s">
        <v>285</v>
      </c>
      <c r="G56" s="44">
        <f>TIME(0,44,42)-D56</f>
        <v>0.016608796296296295</v>
      </c>
      <c r="H56" s="44"/>
      <c r="I56" s="25" t="s">
        <v>8</v>
      </c>
      <c r="J56" s="44">
        <f>TIME(1,7,17)-D56-G56</f>
        <v>0.015682870370370375</v>
      </c>
      <c r="K56" s="44"/>
      <c r="L56" s="25"/>
      <c r="M56" s="44"/>
      <c r="N56" s="44"/>
      <c r="O56" s="45">
        <f t="shared" si="3"/>
        <v>0.046724537037037044</v>
      </c>
      <c r="P56" s="41">
        <v>2</v>
      </c>
    </row>
    <row r="57" spans="1:16" ht="12.75">
      <c r="A57" s="41">
        <v>6</v>
      </c>
      <c r="B57" s="43" t="s">
        <v>67</v>
      </c>
      <c r="C57" s="25" t="s">
        <v>223</v>
      </c>
      <c r="D57" s="44">
        <f>TIME(0,20,34)</f>
        <v>0.014282407407407409</v>
      </c>
      <c r="E57" s="44"/>
      <c r="F57" s="25" t="s">
        <v>123</v>
      </c>
      <c r="G57" s="44">
        <f>TIME(0,41,42)-D57</f>
        <v>0.014675925925925927</v>
      </c>
      <c r="H57" s="44"/>
      <c r="I57" s="25" t="s">
        <v>132</v>
      </c>
      <c r="J57" s="44">
        <f>TIME(1,9,14)-D57-G57</f>
        <v>0.01912037037037037</v>
      </c>
      <c r="K57" s="44"/>
      <c r="L57" s="25"/>
      <c r="M57" s="44"/>
      <c r="N57" s="44"/>
      <c r="O57" s="45">
        <f t="shared" si="3"/>
        <v>0.04807870370370371</v>
      </c>
      <c r="P57" s="41">
        <v>1</v>
      </c>
    </row>
    <row r="58" spans="1:16" ht="12.75">
      <c r="A58" s="36"/>
      <c r="B58" s="40" t="s">
        <v>83</v>
      </c>
      <c r="C58" s="19"/>
      <c r="D58" s="20" t="s">
        <v>2</v>
      </c>
      <c r="E58" s="20"/>
      <c r="F58" s="19"/>
      <c r="G58" s="20" t="s">
        <v>2</v>
      </c>
      <c r="H58" s="20"/>
      <c r="I58" s="19"/>
      <c r="J58" s="20" t="s">
        <v>2</v>
      </c>
      <c r="K58" s="20"/>
      <c r="L58" s="19"/>
      <c r="M58" s="20"/>
      <c r="N58" s="20"/>
      <c r="O58" s="21"/>
      <c r="P58" s="26"/>
    </row>
    <row r="59" spans="1:16" ht="12.75">
      <c r="A59" s="41"/>
      <c r="B59" s="43" t="s">
        <v>78</v>
      </c>
      <c r="C59" s="25" t="s">
        <v>22</v>
      </c>
      <c r="D59" s="44">
        <f>TIME(0,35,13)</f>
        <v>0.02445601851851852</v>
      </c>
      <c r="E59" s="44"/>
      <c r="F59" s="25" t="s">
        <v>19</v>
      </c>
      <c r="G59" s="44">
        <f>TIME(1,5,40)-D59</f>
        <v>0.02114583333333334</v>
      </c>
      <c r="H59" s="44"/>
      <c r="I59" s="25"/>
      <c r="J59" s="44"/>
      <c r="K59" s="44"/>
      <c r="L59" s="25"/>
      <c r="M59" s="44"/>
      <c r="N59" s="44"/>
      <c r="O59" s="45"/>
      <c r="P59" s="41"/>
    </row>
    <row r="61" ht="12.75">
      <c r="A61" s="41"/>
    </row>
  </sheetData>
  <sheetProtection/>
  <printOptions/>
  <pageMargins left="0.26" right="0.5" top="0.5" bottom="0.55" header="0.3" footer="0.3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42" sqref="A42"/>
    </sheetView>
  </sheetViews>
  <sheetFormatPr defaultColWidth="7.421875" defaultRowHeight="15"/>
  <cols>
    <col min="1" max="1" width="6.57421875" style="46" customWidth="1"/>
    <col min="2" max="2" width="14.421875" style="32" bestFit="1" customWidth="1"/>
    <col min="3" max="3" width="21.7109375" style="12" bestFit="1" customWidth="1"/>
    <col min="4" max="4" width="5.421875" style="48" bestFit="1" customWidth="1"/>
    <col min="5" max="5" width="13.140625" style="48" customWidth="1"/>
    <col min="6" max="6" width="19.140625" style="12" bestFit="1" customWidth="1"/>
    <col min="7" max="7" width="5.421875" style="48" bestFit="1" customWidth="1"/>
    <col min="8" max="8" width="13.140625" style="48" customWidth="1"/>
    <col min="9" max="9" width="18.00390625" style="12" bestFit="1" customWidth="1"/>
    <col min="10" max="10" width="5.421875" style="48" bestFit="1" customWidth="1"/>
    <col min="11" max="11" width="13.140625" style="48" customWidth="1"/>
    <col min="12" max="12" width="7.8515625" style="46" bestFit="1" customWidth="1"/>
    <col min="13" max="13" width="3.421875" style="46" bestFit="1" customWidth="1"/>
    <col min="14" max="16384" width="13.140625" style="12" customWidth="1"/>
  </cols>
  <sheetData>
    <row r="1" spans="1:15" s="32" customFormat="1" ht="12.75">
      <c r="A1" s="36" t="s">
        <v>167</v>
      </c>
      <c r="D1" s="33"/>
      <c r="E1" s="33"/>
      <c r="G1" s="33"/>
      <c r="H1" s="33"/>
      <c r="J1" s="33"/>
      <c r="K1" s="33"/>
      <c r="L1" s="34"/>
      <c r="M1" s="33"/>
      <c r="N1" s="33"/>
      <c r="O1" s="35"/>
    </row>
    <row r="2" spans="1:13" s="32" customFormat="1" ht="12.75">
      <c r="A2" s="36"/>
      <c r="D2" s="33"/>
      <c r="E2" s="33"/>
      <c r="G2" s="33"/>
      <c r="H2" s="33"/>
      <c r="J2" s="33"/>
      <c r="K2" s="33"/>
      <c r="L2" s="34"/>
      <c r="M2" s="34"/>
    </row>
    <row r="3" spans="1:13" s="32" customFormat="1" ht="12.75">
      <c r="A3" s="37" t="s">
        <v>63</v>
      </c>
      <c r="B3" s="37" t="s">
        <v>0</v>
      </c>
      <c r="C3" s="37" t="s">
        <v>100</v>
      </c>
      <c r="D3" s="38" t="s">
        <v>1</v>
      </c>
      <c r="E3" s="38"/>
      <c r="F3" s="37" t="s">
        <v>101</v>
      </c>
      <c r="G3" s="38" t="s">
        <v>1</v>
      </c>
      <c r="H3" s="38"/>
      <c r="I3" s="37" t="s">
        <v>102</v>
      </c>
      <c r="J3" s="38" t="s">
        <v>1</v>
      </c>
      <c r="K3" s="38"/>
      <c r="L3" s="37" t="s">
        <v>72</v>
      </c>
      <c r="M3" s="37" t="s">
        <v>23</v>
      </c>
    </row>
    <row r="4" spans="1:13" s="32" customFormat="1" ht="12.75">
      <c r="A4" s="37"/>
      <c r="B4" s="37"/>
      <c r="C4" s="37"/>
      <c r="D4" s="38"/>
      <c r="E4" s="38"/>
      <c r="F4" s="37"/>
      <c r="G4" s="38"/>
      <c r="H4" s="38"/>
      <c r="I4" s="37"/>
      <c r="J4" s="38"/>
      <c r="K4" s="38"/>
      <c r="L4" s="37"/>
      <c r="M4" s="37"/>
    </row>
    <row r="5" spans="1:13" s="32" customFormat="1" ht="12.75">
      <c r="A5" s="40" t="s">
        <v>82</v>
      </c>
      <c r="B5" s="40" t="s">
        <v>81</v>
      </c>
      <c r="C5" s="22"/>
      <c r="D5" s="97"/>
      <c r="E5" s="97"/>
      <c r="F5" s="22"/>
      <c r="G5" s="97"/>
      <c r="H5" s="97"/>
      <c r="I5" s="22"/>
      <c r="J5" s="97"/>
      <c r="K5" s="97"/>
      <c r="L5" s="98"/>
      <c r="M5" s="98"/>
    </row>
    <row r="6" spans="1:13" ht="12.75">
      <c r="A6" s="41">
        <v>1</v>
      </c>
      <c r="B6" s="43" t="s">
        <v>15</v>
      </c>
      <c r="C6" s="25" t="s">
        <v>34</v>
      </c>
      <c r="D6" s="44">
        <f>TIME(0,17,10)</f>
        <v>0.011921296296296298</v>
      </c>
      <c r="E6" s="44"/>
      <c r="F6" s="25" t="s">
        <v>48</v>
      </c>
      <c r="G6" s="44">
        <f>TIME(0,33,49)-D6</f>
        <v>0.0115625</v>
      </c>
      <c r="H6" s="44"/>
      <c r="I6" s="25" t="s">
        <v>32</v>
      </c>
      <c r="J6" s="44">
        <f>TIME(0,51,46)-D6-G6</f>
        <v>0.012465277777777773</v>
      </c>
      <c r="K6" s="44"/>
      <c r="L6" s="45">
        <f aca="true" t="shared" si="0" ref="L6:L13">+J6+G6+D6</f>
        <v>0.03594907407407407</v>
      </c>
      <c r="M6" s="41">
        <v>8</v>
      </c>
    </row>
    <row r="7" spans="1:13" ht="12.75">
      <c r="A7" s="41">
        <v>2</v>
      </c>
      <c r="B7" s="43" t="s">
        <v>66</v>
      </c>
      <c r="C7" s="25" t="s">
        <v>297</v>
      </c>
      <c r="D7" s="44">
        <f>TIME(0,17,56)</f>
        <v>0.012453703703703703</v>
      </c>
      <c r="E7" s="44"/>
      <c r="F7" s="25" t="s">
        <v>298</v>
      </c>
      <c r="G7" s="44">
        <f>TIME(0,37,33)-D7</f>
        <v>0.013622685185185182</v>
      </c>
      <c r="H7" s="44"/>
      <c r="I7" s="25" t="s">
        <v>299</v>
      </c>
      <c r="J7" s="44">
        <f>TIME(0,55,0)-D7-G7</f>
        <v>0.012118055555555556</v>
      </c>
      <c r="K7" s="44"/>
      <c r="L7" s="45">
        <f t="shared" si="0"/>
        <v>0.03819444444444444</v>
      </c>
      <c r="M7" s="41">
        <v>7</v>
      </c>
    </row>
    <row r="8" spans="1:13" ht="12.75">
      <c r="A8" s="41">
        <v>3</v>
      </c>
      <c r="B8" s="43" t="s">
        <v>77</v>
      </c>
      <c r="C8" s="25" t="s">
        <v>134</v>
      </c>
      <c r="D8" s="44">
        <v>0.01318287037037037</v>
      </c>
      <c r="E8" s="44"/>
      <c r="F8" s="25" t="s">
        <v>188</v>
      </c>
      <c r="G8" s="44">
        <f>TIME(0,36,43)-D8</f>
        <v>0.012314814814814818</v>
      </c>
      <c r="H8" s="44"/>
      <c r="I8" s="25" t="s">
        <v>10</v>
      </c>
      <c r="J8" s="44">
        <f>TIME(0,55,17)-D8-G8</f>
        <v>0.012893518518518507</v>
      </c>
      <c r="K8" s="44"/>
      <c r="L8" s="45">
        <f t="shared" si="0"/>
        <v>0.0383912037037037</v>
      </c>
      <c r="M8" s="41">
        <v>6</v>
      </c>
    </row>
    <row r="9" spans="1:13" ht="12.75">
      <c r="A9" s="41">
        <v>4</v>
      </c>
      <c r="B9" s="43" t="s">
        <v>74</v>
      </c>
      <c r="C9" s="25" t="s">
        <v>46</v>
      </c>
      <c r="D9" s="44">
        <f>TIME(0,18,5)</f>
        <v>0.01255787037037037</v>
      </c>
      <c r="E9" s="44"/>
      <c r="F9" s="25" t="s">
        <v>292</v>
      </c>
      <c r="G9" s="44">
        <f>TIME(0,36,35)-D9</f>
        <v>0.012847222222222223</v>
      </c>
      <c r="H9" s="44"/>
      <c r="I9" s="25" t="s">
        <v>293</v>
      </c>
      <c r="J9" s="44">
        <f>TIME(0,56,16)-D9-G9</f>
        <v>0.013668981481481478</v>
      </c>
      <c r="K9" s="44"/>
      <c r="L9" s="45">
        <f t="shared" si="0"/>
        <v>0.039074074074074074</v>
      </c>
      <c r="M9" s="41">
        <v>5</v>
      </c>
    </row>
    <row r="10" spans="1:13" ht="12.75">
      <c r="A10" s="41">
        <v>5</v>
      </c>
      <c r="B10" s="43" t="s">
        <v>189</v>
      </c>
      <c r="C10" s="25" t="s">
        <v>192</v>
      </c>
      <c r="D10" s="44">
        <v>0.013645833333333331</v>
      </c>
      <c r="E10" s="44"/>
      <c r="F10" s="25" t="s">
        <v>191</v>
      </c>
      <c r="G10" s="44">
        <f>TIME(0,40,49)-D10</f>
        <v>0.014699074074074081</v>
      </c>
      <c r="H10" s="44"/>
      <c r="I10" s="25" t="s">
        <v>190</v>
      </c>
      <c r="J10" s="44">
        <f>TIME(0,59,32)-D10-G10</f>
        <v>0.01299768518518518</v>
      </c>
      <c r="K10" s="44"/>
      <c r="L10" s="45">
        <f t="shared" si="0"/>
        <v>0.04134259259259259</v>
      </c>
      <c r="M10" s="41">
        <v>4</v>
      </c>
    </row>
    <row r="11" spans="1:13" ht="12.75">
      <c r="A11" s="41">
        <v>6</v>
      </c>
      <c r="B11" s="43" t="s">
        <v>3</v>
      </c>
      <c r="C11" s="25" t="s">
        <v>213</v>
      </c>
      <c r="D11" s="44">
        <f>TIME(0,18,49)</f>
        <v>0.01306712962962963</v>
      </c>
      <c r="E11" s="44"/>
      <c r="F11" s="25" t="s">
        <v>214</v>
      </c>
      <c r="G11" s="44">
        <f>TIME(0,37,36)-D11</f>
        <v>0.013043981481481483</v>
      </c>
      <c r="H11" s="44"/>
      <c r="I11" s="25" t="s">
        <v>215</v>
      </c>
      <c r="J11" s="44">
        <f>TIME(0,59,36)-D11-G11</f>
        <v>0.015277777777777779</v>
      </c>
      <c r="K11" s="44"/>
      <c r="L11" s="45">
        <f t="shared" si="0"/>
        <v>0.04138888888888889</v>
      </c>
      <c r="M11" s="41">
        <v>3</v>
      </c>
    </row>
    <row r="12" spans="1:13" ht="12.75">
      <c r="A12" s="41">
        <v>7</v>
      </c>
      <c r="B12" s="43" t="s">
        <v>67</v>
      </c>
      <c r="C12" s="25" t="s">
        <v>254</v>
      </c>
      <c r="D12" s="44">
        <f>TIME(0,19,3)</f>
        <v>0.013229166666666667</v>
      </c>
      <c r="E12" s="44"/>
      <c r="F12" s="25" t="s">
        <v>255</v>
      </c>
      <c r="G12" s="44">
        <f>TIME(0,38,45)-D12</f>
        <v>0.013680555555555557</v>
      </c>
      <c r="H12" s="44"/>
      <c r="I12" s="25" t="s">
        <v>121</v>
      </c>
      <c r="J12" s="44">
        <f>TIME(0,59,44)-D12-G12</f>
        <v>0.014571759259259257</v>
      </c>
      <c r="K12" s="44"/>
      <c r="L12" s="45">
        <f t="shared" si="0"/>
        <v>0.04148148148148148</v>
      </c>
      <c r="M12" s="41">
        <v>2</v>
      </c>
    </row>
    <row r="13" spans="1:13" ht="12.75">
      <c r="A13" s="41">
        <v>8</v>
      </c>
      <c r="B13" s="43" t="s">
        <v>64</v>
      </c>
      <c r="C13" s="25" t="s">
        <v>148</v>
      </c>
      <c r="D13" s="44">
        <f>TIME(0,17,21)</f>
        <v>0.012048611111111112</v>
      </c>
      <c r="E13" s="44"/>
      <c r="F13" s="25" t="s">
        <v>235</v>
      </c>
      <c r="G13" s="44">
        <f>TIME(0,42,11)-D13</f>
        <v>0.01724537037037037</v>
      </c>
      <c r="H13" s="44"/>
      <c r="I13" s="25" t="s">
        <v>236</v>
      </c>
      <c r="J13" s="44">
        <f>TIME(1,6,24)-D13-G13</f>
        <v>0.016817129629629626</v>
      </c>
      <c r="K13" s="44"/>
      <c r="L13" s="45">
        <f t="shared" si="0"/>
        <v>0.04611111111111111</v>
      </c>
      <c r="M13" s="41">
        <v>1</v>
      </c>
    </row>
    <row r="14" spans="1:13" ht="12.75">
      <c r="A14" s="41"/>
      <c r="B14" s="43"/>
      <c r="C14" s="25"/>
      <c r="D14" s="44"/>
      <c r="E14" s="44"/>
      <c r="F14" s="25"/>
      <c r="G14" s="44"/>
      <c r="H14" s="44"/>
      <c r="I14" s="25"/>
      <c r="J14" s="44"/>
      <c r="K14" s="44"/>
      <c r="L14" s="45"/>
      <c r="M14" s="41"/>
    </row>
    <row r="15" spans="1:15" ht="12.75">
      <c r="A15" s="42"/>
      <c r="B15" s="40" t="s">
        <v>83</v>
      </c>
      <c r="C15" s="19"/>
      <c r="D15" s="20"/>
      <c r="E15" s="20"/>
      <c r="F15" s="19"/>
      <c r="G15" s="20"/>
      <c r="H15" s="20"/>
      <c r="I15" s="19"/>
      <c r="J15" s="20"/>
      <c r="K15" s="20"/>
      <c r="L15" s="19"/>
      <c r="M15" s="41"/>
      <c r="N15" s="41"/>
      <c r="O15" s="41"/>
    </row>
    <row r="16" spans="1:13" ht="12.75">
      <c r="A16" s="41">
        <v>1</v>
      </c>
      <c r="B16" s="43" t="s">
        <v>69</v>
      </c>
      <c r="C16" s="25" t="s">
        <v>306</v>
      </c>
      <c r="D16" s="44">
        <v>0.01318287037037037</v>
      </c>
      <c r="E16" s="44"/>
      <c r="F16" s="25" t="s">
        <v>307</v>
      </c>
      <c r="G16" s="44">
        <f>TIME(0,38,24)-D16</f>
        <v>0.013483796296296298</v>
      </c>
      <c r="H16" s="44"/>
      <c r="I16" s="25" t="s">
        <v>308</v>
      </c>
      <c r="J16" s="44">
        <f>TIME(0,59,59)-D16-G16</f>
        <v>0.014988425925925928</v>
      </c>
      <c r="K16" s="44"/>
      <c r="L16" s="45">
        <f>+J16+G16+D16</f>
        <v>0.0416550925925926</v>
      </c>
      <c r="M16" s="41">
        <v>5</v>
      </c>
    </row>
    <row r="17" spans="1:13" ht="12.75">
      <c r="A17" s="41">
        <v>2</v>
      </c>
      <c r="B17" s="43" t="s">
        <v>9</v>
      </c>
      <c r="C17" s="25" t="s">
        <v>269</v>
      </c>
      <c r="D17" s="44">
        <f>TIME(0,18,50)</f>
        <v>0.013078703703703703</v>
      </c>
      <c r="E17" s="44"/>
      <c r="F17" s="25" t="s">
        <v>151</v>
      </c>
      <c r="G17" s="44">
        <f>TIME(0,41,0)-D17</f>
        <v>0.015393518518518518</v>
      </c>
      <c r="H17" s="44"/>
      <c r="I17" s="25" t="s">
        <v>150</v>
      </c>
      <c r="J17" s="44">
        <f>TIME(1,1,17)-D17-G17</f>
        <v>0.01408564814814815</v>
      </c>
      <c r="K17" s="44"/>
      <c r="L17" s="45">
        <f>+J17+G17+D17</f>
        <v>0.04255787037037037</v>
      </c>
      <c r="M17" s="41">
        <v>4</v>
      </c>
    </row>
    <row r="18" spans="1:13" ht="12.75">
      <c r="A18" s="41">
        <v>3</v>
      </c>
      <c r="B18" s="43" t="s">
        <v>21</v>
      </c>
      <c r="C18" s="25" t="s">
        <v>152</v>
      </c>
      <c r="D18" s="44">
        <f>TIME(0,24,17)</f>
        <v>0.016863425925925928</v>
      </c>
      <c r="E18" s="44"/>
      <c r="F18" s="25" t="s">
        <v>117</v>
      </c>
      <c r="G18" s="44">
        <f>TIME(0,46,29)-D18</f>
        <v>0.015416666666666662</v>
      </c>
      <c r="H18" s="44"/>
      <c r="I18" s="25" t="s">
        <v>252</v>
      </c>
      <c r="J18" s="44">
        <f>TIME(1,8,30)-D18-G18</f>
        <v>0.015289351851851853</v>
      </c>
      <c r="K18" s="44"/>
      <c r="L18" s="45">
        <f>+J18+G18+D18</f>
        <v>0.04756944444444444</v>
      </c>
      <c r="M18" s="41">
        <v>3</v>
      </c>
    </row>
    <row r="19" spans="1:13" ht="12.75">
      <c r="A19" s="41">
        <v>4</v>
      </c>
      <c r="B19" s="43" t="s">
        <v>263</v>
      </c>
      <c r="C19" s="25" t="s">
        <v>264</v>
      </c>
      <c r="D19" s="44">
        <v>0.016747685185185185</v>
      </c>
      <c r="E19" s="44"/>
      <c r="F19" s="25" t="s">
        <v>265</v>
      </c>
      <c r="G19" s="44">
        <f>TIME(0,46,21)-D19</f>
        <v>0.015439814814814816</v>
      </c>
      <c r="H19" s="44"/>
      <c r="I19" s="25" t="s">
        <v>266</v>
      </c>
      <c r="J19" s="44">
        <f>TIME(1,9,8)-D19-G19</f>
        <v>0.015821759259259258</v>
      </c>
      <c r="K19" s="44"/>
      <c r="L19" s="45">
        <f>+J19+G19+D19</f>
        <v>0.04800925925925926</v>
      </c>
      <c r="M19" s="41">
        <v>2</v>
      </c>
    </row>
    <row r="20" spans="1:13" ht="12.75">
      <c r="A20" s="41">
        <v>5</v>
      </c>
      <c r="B20" s="43" t="s">
        <v>78</v>
      </c>
      <c r="C20" s="25" t="s">
        <v>11</v>
      </c>
      <c r="D20" s="44">
        <f>TIME(0,20,5)</f>
        <v>0.013946759259259258</v>
      </c>
      <c r="E20" s="44"/>
      <c r="F20" s="25" t="s">
        <v>256</v>
      </c>
      <c r="G20" s="44">
        <f>TIME(0,45,11)-D20</f>
        <v>0.017430555555555553</v>
      </c>
      <c r="H20" s="44"/>
      <c r="I20" s="25" t="s">
        <v>257</v>
      </c>
      <c r="J20" s="44">
        <f>TIME(1,9,32)-D20-G20</f>
        <v>0.01690972222222223</v>
      </c>
      <c r="K20" s="44"/>
      <c r="L20" s="45">
        <f>+J20+G20+D20</f>
        <v>0.04828703703703704</v>
      </c>
      <c r="M20" s="41">
        <v>1</v>
      </c>
    </row>
    <row r="21" spans="1:12" ht="12.75">
      <c r="A21" s="26"/>
      <c r="B21" s="22" t="s">
        <v>75</v>
      </c>
      <c r="C21" s="95" t="s">
        <v>193</v>
      </c>
      <c r="D21" s="20">
        <f>TIME(0,18,46)</f>
        <v>0.013032407407407407</v>
      </c>
      <c r="E21" s="20"/>
      <c r="F21" s="19"/>
      <c r="G21" s="20"/>
      <c r="H21" s="20"/>
      <c r="I21" s="19"/>
      <c r="J21" s="20"/>
      <c r="K21" s="20"/>
      <c r="L21" s="26"/>
    </row>
    <row r="22" spans="1:13" s="32" customFormat="1" ht="12.75">
      <c r="A22" s="40" t="s">
        <v>88</v>
      </c>
      <c r="B22" s="40" t="s">
        <v>81</v>
      </c>
      <c r="D22" s="33"/>
      <c r="E22" s="33"/>
      <c r="G22" s="33"/>
      <c r="H22" s="33"/>
      <c r="J22" s="33"/>
      <c r="K22" s="33"/>
      <c r="L22" s="34"/>
      <c r="M22" s="34"/>
    </row>
    <row r="23" spans="1:13" ht="12.75">
      <c r="A23" s="41">
        <v>1</v>
      </c>
      <c r="B23" s="43" t="s">
        <v>64</v>
      </c>
      <c r="C23" s="25" t="s">
        <v>237</v>
      </c>
      <c r="D23" s="44">
        <f>TIME(0,18,36)</f>
        <v>0.012916666666666667</v>
      </c>
      <c r="E23" s="44"/>
      <c r="F23" s="25" t="s">
        <v>238</v>
      </c>
      <c r="G23" s="44">
        <f>TIME(0,35,56)-D23</f>
        <v>0.012037037037037034</v>
      </c>
      <c r="H23" s="44"/>
      <c r="I23" s="25" t="s">
        <v>239</v>
      </c>
      <c r="J23" s="44">
        <f>TIME(0,54,16)-D23-G23</f>
        <v>0.012731481481481483</v>
      </c>
      <c r="K23" s="44"/>
      <c r="L23" s="45">
        <f aca="true" t="shared" si="1" ref="L23:L28">+J23+G23+D23</f>
        <v>0.03768518518518518</v>
      </c>
      <c r="M23" s="41">
        <v>6</v>
      </c>
    </row>
    <row r="24" spans="1:13" ht="12.75">
      <c r="A24" s="41">
        <v>2</v>
      </c>
      <c r="B24" s="43" t="s">
        <v>79</v>
      </c>
      <c r="C24" s="25" t="s">
        <v>147</v>
      </c>
      <c r="D24" s="44">
        <f>TIME(0,20,1)</f>
        <v>0.013900462962962962</v>
      </c>
      <c r="E24" s="44"/>
      <c r="F24" s="25" t="s">
        <v>146</v>
      </c>
      <c r="G24" s="44">
        <f>TIME(0,38,6)-D24</f>
        <v>0.012557870370370372</v>
      </c>
      <c r="H24" s="44"/>
      <c r="I24" s="25" t="s">
        <v>291</v>
      </c>
      <c r="J24" s="44">
        <f>TIME(0,59,7)-D24-G24</f>
        <v>0.01459490740740741</v>
      </c>
      <c r="K24" s="44"/>
      <c r="L24" s="45">
        <f t="shared" si="1"/>
        <v>0.041053240740740744</v>
      </c>
      <c r="M24" s="41">
        <v>5</v>
      </c>
    </row>
    <row r="25" spans="1:13" ht="12.75">
      <c r="A25" s="41">
        <v>3</v>
      </c>
      <c r="B25" s="43" t="s">
        <v>67</v>
      </c>
      <c r="C25" s="25" t="s">
        <v>253</v>
      </c>
      <c r="D25" s="44">
        <f>TIME(0,19,1)</f>
        <v>0.013206018518518518</v>
      </c>
      <c r="E25" s="44"/>
      <c r="F25" s="25" t="s">
        <v>31</v>
      </c>
      <c r="G25" s="44">
        <f>TIME(0,39,46)-D25</f>
        <v>0.014409722222222225</v>
      </c>
      <c r="H25" s="44"/>
      <c r="I25" s="25" t="s">
        <v>14</v>
      </c>
      <c r="J25" s="44">
        <f>TIME(1,0,40)-D25-G25</f>
        <v>0.014513888888888883</v>
      </c>
      <c r="K25" s="44"/>
      <c r="L25" s="45">
        <f t="shared" si="1"/>
        <v>0.04212962962962963</v>
      </c>
      <c r="M25" s="41">
        <v>4</v>
      </c>
    </row>
    <row r="26" spans="1:13" ht="12.75">
      <c r="A26" s="41">
        <v>4</v>
      </c>
      <c r="B26" s="43" t="s">
        <v>15</v>
      </c>
      <c r="C26" s="25" t="s">
        <v>267</v>
      </c>
      <c r="D26" s="44">
        <f>TIME(0,19,14)</f>
        <v>0.013356481481481483</v>
      </c>
      <c r="E26" s="44"/>
      <c r="F26" s="25" t="s">
        <v>37</v>
      </c>
      <c r="G26" s="44">
        <f>TIME(0,41,6)-D26</f>
        <v>0.015185185185185187</v>
      </c>
      <c r="H26" s="44"/>
      <c r="I26" s="25" t="s">
        <v>268</v>
      </c>
      <c r="J26" s="44">
        <f>TIME(1,1,42)-D26-G26</f>
        <v>0.014305555555555554</v>
      </c>
      <c r="K26" s="44"/>
      <c r="L26" s="45">
        <f t="shared" si="1"/>
        <v>0.042847222222222224</v>
      </c>
      <c r="M26" s="41">
        <v>3</v>
      </c>
    </row>
    <row r="27" spans="1:13" ht="12.75">
      <c r="A27" s="41">
        <v>5</v>
      </c>
      <c r="B27" s="43" t="s">
        <v>80</v>
      </c>
      <c r="C27" s="25" t="s">
        <v>120</v>
      </c>
      <c r="D27" s="44">
        <f>TIME(0,19,18)</f>
        <v>0.013402777777777777</v>
      </c>
      <c r="E27" s="44"/>
      <c r="F27" s="25" t="s">
        <v>153</v>
      </c>
      <c r="G27" s="44">
        <f>TIME(0,39,54)-D27</f>
        <v>0.014305555555555554</v>
      </c>
      <c r="H27" s="44"/>
      <c r="I27" s="25" t="s">
        <v>303</v>
      </c>
      <c r="J27" s="44">
        <f>TIME(1,3,22)-D27-G27</f>
        <v>0.01629629629629629</v>
      </c>
      <c r="K27" s="44"/>
      <c r="L27" s="45">
        <f t="shared" si="1"/>
        <v>0.04400462962962962</v>
      </c>
      <c r="M27" s="41">
        <v>2</v>
      </c>
    </row>
    <row r="28" spans="1:13" ht="12.75">
      <c r="A28" s="41">
        <v>6</v>
      </c>
      <c r="B28" s="43" t="s">
        <v>53</v>
      </c>
      <c r="C28" s="25" t="s">
        <v>287</v>
      </c>
      <c r="D28" s="44">
        <f>TIME(0,20,34)</f>
        <v>0.014282407407407409</v>
      </c>
      <c r="E28" s="44"/>
      <c r="F28" s="25" t="s">
        <v>288</v>
      </c>
      <c r="G28" s="44">
        <f>TIME(0,45,54)-D28</f>
        <v>0.01759259259259259</v>
      </c>
      <c r="H28" s="44"/>
      <c r="I28" s="25" t="s">
        <v>155</v>
      </c>
      <c r="J28" s="44">
        <f>TIME(1,8,49)-D28-G28</f>
        <v>0.015914351851851846</v>
      </c>
      <c r="K28" s="44"/>
      <c r="L28" s="45">
        <f t="shared" si="1"/>
        <v>0.04778935185185185</v>
      </c>
      <c r="M28" s="41">
        <v>1</v>
      </c>
    </row>
    <row r="29" spans="1:13" ht="12.75">
      <c r="A29" s="41"/>
      <c r="B29" s="43"/>
      <c r="C29" s="25"/>
      <c r="D29" s="44"/>
      <c r="E29" s="44"/>
      <c r="F29" s="25"/>
      <c r="G29" s="44"/>
      <c r="H29" s="44"/>
      <c r="I29" s="25"/>
      <c r="J29" s="44"/>
      <c r="K29" s="44"/>
      <c r="L29" s="45"/>
      <c r="M29" s="41"/>
    </row>
    <row r="30" spans="1:13" ht="12.75">
      <c r="A30" s="41"/>
      <c r="B30" s="43"/>
      <c r="C30" s="25"/>
      <c r="D30" s="44"/>
      <c r="E30" s="44"/>
      <c r="F30" s="25"/>
      <c r="G30" s="44"/>
      <c r="H30" s="44"/>
      <c r="I30" s="25"/>
      <c r="J30" s="44"/>
      <c r="K30" s="44"/>
      <c r="L30" s="45"/>
      <c r="M30" s="41"/>
    </row>
    <row r="31" spans="1:13" ht="12.75">
      <c r="A31" s="40"/>
      <c r="B31" s="40" t="s">
        <v>83</v>
      </c>
      <c r="C31" s="32"/>
      <c r="D31" s="20"/>
      <c r="E31" s="33"/>
      <c r="F31" s="32"/>
      <c r="G31" s="33"/>
      <c r="H31" s="33"/>
      <c r="I31" s="32"/>
      <c r="J31" s="33"/>
      <c r="K31" s="33"/>
      <c r="L31" s="34"/>
      <c r="M31" s="34"/>
    </row>
    <row r="32" spans="1:13" ht="12.75">
      <c r="A32" s="41">
        <v>1</v>
      </c>
      <c r="B32" s="43" t="s">
        <v>70</v>
      </c>
      <c r="C32" s="25" t="s">
        <v>240</v>
      </c>
      <c r="D32" s="44">
        <f>TIME(0,18,18)</f>
        <v>0.012708333333333334</v>
      </c>
      <c r="E32" s="44"/>
      <c r="F32" s="25" t="s">
        <v>241</v>
      </c>
      <c r="G32" s="44">
        <f>TIME(0,37,52)-D32</f>
        <v>0.01358796296296296</v>
      </c>
      <c r="H32" s="44"/>
      <c r="I32" s="25" t="s">
        <v>242</v>
      </c>
      <c r="J32" s="44">
        <f>TIME(0,57,55)-D32-G32</f>
        <v>0.01392361111111111</v>
      </c>
      <c r="K32" s="44"/>
      <c r="L32" s="45">
        <f>+J32+G32+D32</f>
        <v>0.040219907407407406</v>
      </c>
      <c r="M32" s="41">
        <v>2</v>
      </c>
    </row>
    <row r="33" spans="1:13" ht="12.75">
      <c r="A33" s="41">
        <v>2</v>
      </c>
      <c r="B33" s="43" t="s">
        <v>9</v>
      </c>
      <c r="C33" s="25" t="s">
        <v>221</v>
      </c>
      <c r="D33" s="44">
        <f>TIME(0,26,57)</f>
        <v>0.01871527777777778</v>
      </c>
      <c r="E33" s="44"/>
      <c r="F33" s="25" t="s">
        <v>222</v>
      </c>
      <c r="G33" s="44">
        <f>TIME(0,48,41)-D33</f>
        <v>0.015092592592592591</v>
      </c>
      <c r="H33" s="44"/>
      <c r="I33" s="25" t="s">
        <v>33</v>
      </c>
      <c r="J33" s="44">
        <f>TIME(1,11,55)-D33-G33</f>
        <v>0.016134259259259258</v>
      </c>
      <c r="K33" s="44"/>
      <c r="L33" s="45">
        <f>+J33+G33+D33</f>
        <v>0.04994212962962963</v>
      </c>
      <c r="M33" s="41">
        <v>1</v>
      </c>
    </row>
    <row r="34" spans="1:13" ht="12.75">
      <c r="A34" s="26"/>
      <c r="B34" s="22"/>
      <c r="C34" s="19"/>
      <c r="D34" s="20"/>
      <c r="E34" s="20"/>
      <c r="F34" s="19"/>
      <c r="G34" s="20"/>
      <c r="H34" s="20"/>
      <c r="I34" s="19"/>
      <c r="J34" s="20"/>
      <c r="K34" s="20"/>
      <c r="L34" s="21"/>
      <c r="M34" s="26"/>
    </row>
    <row r="35" spans="1:13" s="32" customFormat="1" ht="12.75">
      <c r="A35" s="40" t="s">
        <v>87</v>
      </c>
      <c r="B35" s="40" t="s">
        <v>81</v>
      </c>
      <c r="D35" s="33"/>
      <c r="E35" s="33"/>
      <c r="G35" s="33"/>
      <c r="H35" s="33"/>
      <c r="J35" s="33"/>
      <c r="K35" s="33"/>
      <c r="L35" s="34"/>
      <c r="M35" s="34"/>
    </row>
    <row r="36" spans="1:13" ht="12.75">
      <c r="A36" s="41">
        <v>1</v>
      </c>
      <c r="B36" s="43" t="s">
        <v>60</v>
      </c>
      <c r="C36" s="25" t="s">
        <v>17</v>
      </c>
      <c r="D36" s="44">
        <f>TIME(0,17,46)</f>
        <v>0.012337962962962962</v>
      </c>
      <c r="E36" s="44"/>
      <c r="F36" s="25" t="s">
        <v>270</v>
      </c>
      <c r="G36" s="44">
        <f>TIME(0,36,6)-D36</f>
        <v>0.012731481481481484</v>
      </c>
      <c r="H36" s="44"/>
      <c r="I36" s="25" t="s">
        <v>16</v>
      </c>
      <c r="J36" s="44">
        <f>TIME(0,55,12)-D36-G36</f>
        <v>0.013263888888888893</v>
      </c>
      <c r="K36" s="44"/>
      <c r="L36" s="45">
        <f>+J36+G36+D36</f>
        <v>0.03833333333333334</v>
      </c>
      <c r="M36" s="41">
        <v>5</v>
      </c>
    </row>
    <row r="37" spans="1:13" ht="12.75">
      <c r="A37" s="41">
        <v>2</v>
      </c>
      <c r="B37" s="43" t="s">
        <v>53</v>
      </c>
      <c r="C37" s="25" t="s">
        <v>126</v>
      </c>
      <c r="D37" s="44">
        <f>TIME(0,22,42)</f>
        <v>0.015763888888888886</v>
      </c>
      <c r="E37" s="44"/>
      <c r="F37" s="25" t="s">
        <v>58</v>
      </c>
      <c r="G37" s="44">
        <f>TIME(0,43,42)-D37</f>
        <v>0.014583333333333337</v>
      </c>
      <c r="H37" s="44"/>
      <c r="I37" s="25" t="s">
        <v>289</v>
      </c>
      <c r="J37" s="44">
        <f>TIME(1,2,24)-D37-G37</f>
        <v>0.012986111111111111</v>
      </c>
      <c r="K37" s="44"/>
      <c r="L37" s="45">
        <f>+J37+G37+D37</f>
        <v>0.043333333333333335</v>
      </c>
      <c r="M37" s="41">
        <v>4</v>
      </c>
    </row>
    <row r="38" spans="1:13" ht="12.75">
      <c r="A38" s="41">
        <v>3</v>
      </c>
      <c r="B38" s="43" t="s">
        <v>64</v>
      </c>
      <c r="C38" s="25" t="s">
        <v>243</v>
      </c>
      <c r="D38" s="44">
        <f>TIME(0,18,49)</f>
        <v>0.01306712962962963</v>
      </c>
      <c r="E38" s="44"/>
      <c r="F38" s="25" t="s">
        <v>244</v>
      </c>
      <c r="G38" s="44">
        <f>TIME(0,40,35)-D38</f>
        <v>0.015115740740740742</v>
      </c>
      <c r="H38" s="44"/>
      <c r="I38" s="25" t="s">
        <v>245</v>
      </c>
      <c r="J38" s="44">
        <f>TIME(1,3,52)-D38-G38</f>
        <v>0.016168981481481486</v>
      </c>
      <c r="K38" s="44"/>
      <c r="L38" s="45">
        <f>+J38+G38+D38</f>
        <v>0.04435185185185186</v>
      </c>
      <c r="M38" s="41">
        <v>3</v>
      </c>
    </row>
    <row r="39" spans="1:13" ht="12.75">
      <c r="A39" s="41">
        <v>4</v>
      </c>
      <c r="B39" s="43" t="s">
        <v>66</v>
      </c>
      <c r="C39" s="25" t="s">
        <v>304</v>
      </c>
      <c r="D39" s="44">
        <v>0.01554398148148148</v>
      </c>
      <c r="E39" s="44"/>
      <c r="F39" s="25" t="s">
        <v>305</v>
      </c>
      <c r="G39" s="44">
        <f>TIME(0,43,23)-D39</f>
        <v>0.014583333333333335</v>
      </c>
      <c r="H39" s="44"/>
      <c r="I39" s="25" t="s">
        <v>43</v>
      </c>
      <c r="J39" s="44">
        <f>TIME(1,7,7)-D39-G39</f>
        <v>0.01648148148148148</v>
      </c>
      <c r="K39" s="44"/>
      <c r="L39" s="45">
        <f>+J39+G39+D39</f>
        <v>0.046608796296296294</v>
      </c>
      <c r="M39" s="41">
        <v>2</v>
      </c>
    </row>
    <row r="40" spans="1:13" ht="12.75">
      <c r="A40" s="41">
        <v>5</v>
      </c>
      <c r="B40" s="43" t="s">
        <v>67</v>
      </c>
      <c r="C40" s="25" t="s">
        <v>13</v>
      </c>
      <c r="D40" s="44">
        <v>0.014733796296296295</v>
      </c>
      <c r="E40" s="44"/>
      <c r="F40" s="25" t="s">
        <v>261</v>
      </c>
      <c r="G40" s="44">
        <f>TIME(0,44,24)-D40</f>
        <v>0.016099537037037037</v>
      </c>
      <c r="H40" s="44"/>
      <c r="I40" s="25" t="s">
        <v>262</v>
      </c>
      <c r="J40" s="44">
        <f>TIME(1,7,40)-D40-G40</f>
        <v>0.016157407407407412</v>
      </c>
      <c r="K40" s="44"/>
      <c r="L40" s="45">
        <f>+J40+G40+D40</f>
        <v>0.04699074074074074</v>
      </c>
      <c r="M40" s="41">
        <v>1</v>
      </c>
    </row>
    <row r="41" spans="1:13" ht="12.75">
      <c r="A41" s="41"/>
      <c r="B41" s="43"/>
      <c r="C41" s="25"/>
      <c r="D41" s="44"/>
      <c r="E41" s="44"/>
      <c r="F41" s="25"/>
      <c r="G41" s="44"/>
      <c r="H41" s="44"/>
      <c r="I41" s="25"/>
      <c r="J41" s="44"/>
      <c r="K41" s="44"/>
      <c r="L41" s="45"/>
      <c r="M41" s="41"/>
    </row>
    <row r="42" spans="1:13" ht="12.75">
      <c r="A42" s="42"/>
      <c r="B42" s="40" t="s">
        <v>83</v>
      </c>
      <c r="C42" s="25"/>
      <c r="D42" s="44"/>
      <c r="E42" s="44"/>
      <c r="F42" s="25"/>
      <c r="G42" s="44"/>
      <c r="H42" s="44"/>
      <c r="I42" s="25"/>
      <c r="J42" s="44"/>
      <c r="K42" s="44"/>
      <c r="L42" s="41"/>
      <c r="M42" s="41"/>
    </row>
    <row r="43" spans="1:13" ht="12.75">
      <c r="A43" s="41">
        <v>1</v>
      </c>
      <c r="B43" s="43" t="s">
        <v>69</v>
      </c>
      <c r="C43" s="25" t="s">
        <v>313</v>
      </c>
      <c r="D43" s="44">
        <v>0.012627314814814815</v>
      </c>
      <c r="E43" s="44"/>
      <c r="F43" s="25" t="s">
        <v>314</v>
      </c>
      <c r="G43" s="44">
        <f>TIME(0,37,19)-D43</f>
        <v>0.01328703703703704</v>
      </c>
      <c r="H43" s="44"/>
      <c r="I43" s="25" t="s">
        <v>315</v>
      </c>
      <c r="J43" s="44">
        <f>TIME(0,56,4)-D43-G43</f>
        <v>0.013020833333333337</v>
      </c>
      <c r="K43" s="44"/>
      <c r="L43" s="45">
        <f>+J43+G43+D43</f>
        <v>0.03893518518518519</v>
      </c>
      <c r="M43" s="41">
        <v>5</v>
      </c>
    </row>
    <row r="44" spans="1:13" ht="12.75">
      <c r="A44" s="41">
        <v>2</v>
      </c>
      <c r="B44" s="43" t="s">
        <v>165</v>
      </c>
      <c r="C44" s="25" t="s">
        <v>62</v>
      </c>
      <c r="D44" s="44">
        <f>TIME(0,22,2)</f>
        <v>0.015300925925925926</v>
      </c>
      <c r="E44" s="44"/>
      <c r="F44" s="25" t="s">
        <v>271</v>
      </c>
      <c r="G44" s="44">
        <f>TIME(0,41,40)-D44</f>
        <v>0.01363425925925926</v>
      </c>
      <c r="H44" s="44"/>
      <c r="I44" s="25" t="s">
        <v>272</v>
      </c>
      <c r="J44" s="44">
        <f>TIME(1,3,16)-D44-G44</f>
        <v>0.015000000000000003</v>
      </c>
      <c r="K44" s="44"/>
      <c r="L44" s="45">
        <f>+J44+G44+D44</f>
        <v>0.04393518518518519</v>
      </c>
      <c r="M44" s="41">
        <v>4</v>
      </c>
    </row>
    <row r="45" spans="1:13" ht="12.75">
      <c r="A45" s="41">
        <v>3</v>
      </c>
      <c r="B45" s="43" t="s">
        <v>70</v>
      </c>
      <c r="C45" s="25" t="s">
        <v>61</v>
      </c>
      <c r="D45" s="44">
        <f>TIME(0,23,34)</f>
        <v>0.01636574074074074</v>
      </c>
      <c r="E45" s="44"/>
      <c r="F45" s="25" t="s">
        <v>124</v>
      </c>
      <c r="G45" s="44">
        <f>TIME(0,48,21)-D45</f>
        <v>0.017210648148148152</v>
      </c>
      <c r="H45" s="25"/>
      <c r="I45" s="25" t="s">
        <v>27</v>
      </c>
      <c r="J45" s="44">
        <f>TIME(1,13,54)-D45-G45</f>
        <v>0.017743055555555557</v>
      </c>
      <c r="K45" s="44"/>
      <c r="L45" s="45">
        <f>+J45+G45+D45</f>
        <v>0.051319444444444445</v>
      </c>
      <c r="M45" s="41">
        <v>3</v>
      </c>
    </row>
    <row r="46" spans="1:13" ht="12.75">
      <c r="A46" s="41">
        <v>4</v>
      </c>
      <c r="B46" s="43" t="s">
        <v>78</v>
      </c>
      <c r="C46" s="25" t="s">
        <v>258</v>
      </c>
      <c r="D46" s="44">
        <f>TIME(0,26,59)</f>
        <v>0.018738425925925926</v>
      </c>
      <c r="E46" s="25"/>
      <c r="F46" s="25" t="s">
        <v>259</v>
      </c>
      <c r="G46" s="44">
        <f>TIME(0,51,30)-D46</f>
        <v>0.01702546296296296</v>
      </c>
      <c r="H46" s="44"/>
      <c r="I46" s="25" t="s">
        <v>260</v>
      </c>
      <c r="J46" s="44">
        <f>TIME(1,16,3)-D46-G46</f>
        <v>0.017048611111111115</v>
      </c>
      <c r="K46" s="44"/>
      <c r="L46" s="45">
        <f>+J46+G46+D46</f>
        <v>0.0528125</v>
      </c>
      <c r="M46" s="41">
        <v>2</v>
      </c>
    </row>
    <row r="47" spans="1:13" ht="12.75">
      <c r="A47" s="41">
        <v>5</v>
      </c>
      <c r="B47" s="43" t="s">
        <v>59</v>
      </c>
      <c r="C47" s="25" t="s">
        <v>127</v>
      </c>
      <c r="D47" s="44">
        <f>TIME(0,25,26)</f>
        <v>0.017662037037037035</v>
      </c>
      <c r="E47" s="44"/>
      <c r="F47" s="25" t="s">
        <v>290</v>
      </c>
      <c r="G47" s="44">
        <f>TIME(0,50,11)-D47</f>
        <v>0.017187499999999998</v>
      </c>
      <c r="H47" s="44"/>
      <c r="I47" s="25" t="s">
        <v>156</v>
      </c>
      <c r="J47" s="44">
        <f>TIME(1,16,31)-D47-G47</f>
        <v>0.018287037037037043</v>
      </c>
      <c r="K47" s="44"/>
      <c r="L47" s="45">
        <f>+J47+G47+D47</f>
        <v>0.05313657407407407</v>
      </c>
      <c r="M47" s="41">
        <v>1</v>
      </c>
    </row>
    <row r="48" spans="1:13" ht="12.75">
      <c r="A48" s="41"/>
      <c r="B48" s="43" t="s">
        <v>91</v>
      </c>
      <c r="C48" s="25" t="s">
        <v>296</v>
      </c>
      <c r="D48" s="44">
        <v>0.01960648148148148</v>
      </c>
      <c r="E48" s="44"/>
      <c r="F48" s="25" t="s">
        <v>44</v>
      </c>
      <c r="G48" s="44">
        <f>TIME(0,52,37)-D48</f>
        <v>0.01693287037037037</v>
      </c>
      <c r="H48" s="38"/>
      <c r="I48" s="25"/>
      <c r="J48" s="38"/>
      <c r="K48" s="38"/>
      <c r="L48" s="37"/>
      <c r="M48" s="37"/>
    </row>
    <row r="49" spans="1:13" ht="12.75">
      <c r="A49" s="41"/>
      <c r="B49" s="43"/>
      <c r="C49" s="25"/>
      <c r="D49" s="44"/>
      <c r="E49" s="44"/>
      <c r="F49" s="25"/>
      <c r="G49" s="43"/>
      <c r="H49" s="38"/>
      <c r="I49" s="43"/>
      <c r="J49" s="38"/>
      <c r="K49" s="38"/>
      <c r="L49" s="37"/>
      <c r="M49" s="37"/>
    </row>
    <row r="50" spans="1:13" ht="12.75">
      <c r="A50" s="40" t="s">
        <v>246</v>
      </c>
      <c r="B50" s="40" t="s">
        <v>81</v>
      </c>
      <c r="C50" s="32"/>
      <c r="D50" s="33"/>
      <c r="E50" s="33"/>
      <c r="M50" s="26"/>
    </row>
    <row r="51" spans="1:13" ht="12.75">
      <c r="A51" s="41">
        <v>1</v>
      </c>
      <c r="B51" s="43" t="s">
        <v>64</v>
      </c>
      <c r="C51" s="25" t="s">
        <v>247</v>
      </c>
      <c r="D51" s="44">
        <f>TIME(0,22,56)</f>
        <v>0.015925925925925927</v>
      </c>
      <c r="E51" s="44"/>
      <c r="F51" s="25" t="s">
        <v>248</v>
      </c>
      <c r="G51" s="44">
        <f>TIME(0,45,24)-D51</f>
        <v>0.015601851851851846</v>
      </c>
      <c r="H51" s="44"/>
      <c r="I51" s="25" t="s">
        <v>249</v>
      </c>
      <c r="J51" s="44">
        <f>TIME(1,9,19)-D51-G51</f>
        <v>0.016608796296296302</v>
      </c>
      <c r="K51" s="44"/>
      <c r="L51" s="45">
        <f>+J51+G51+D51</f>
        <v>0.048136574074074075</v>
      </c>
      <c r="M51" s="41">
        <v>2</v>
      </c>
    </row>
    <row r="52" spans="1:13" ht="12.75">
      <c r="A52" s="41">
        <v>2</v>
      </c>
      <c r="B52" s="43" t="s">
        <v>15</v>
      </c>
      <c r="C52" s="25" t="s">
        <v>251</v>
      </c>
      <c r="D52" s="44">
        <f>TIME(0,24,31)</f>
        <v>0.01702546296296296</v>
      </c>
      <c r="E52" s="44"/>
      <c r="F52" s="25" t="s">
        <v>250</v>
      </c>
      <c r="G52" s="44">
        <f>TIME(0,46,29)-D52</f>
        <v>0.015254629629629628</v>
      </c>
      <c r="H52" s="44"/>
      <c r="I52" s="25" t="s">
        <v>118</v>
      </c>
      <c r="J52" s="44">
        <f>TIME(1,11,51)-D52-G52</f>
        <v>0.01761574074074074</v>
      </c>
      <c r="K52" s="44"/>
      <c r="L52" s="45">
        <f>+J52+G52+D52</f>
        <v>0.049895833333333334</v>
      </c>
      <c r="M52" s="41">
        <v>1</v>
      </c>
    </row>
  </sheetData>
  <sheetProtection/>
  <printOptions/>
  <pageMargins left="0.7" right="0.7" top="0.44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421875" style="50" customWidth="1"/>
    <col min="2" max="2" width="16.7109375" style="51" bestFit="1" customWidth="1"/>
    <col min="3" max="3" width="17.28125" style="52" customWidth="1"/>
    <col min="4" max="4" width="6.28125" style="53" bestFit="1" customWidth="1"/>
    <col min="5" max="5" width="0.71875" style="53" customWidth="1"/>
    <col min="6" max="6" width="15.8515625" style="52" customWidth="1"/>
    <col min="7" max="7" width="6.8515625" style="53" bestFit="1" customWidth="1"/>
    <col min="8" max="8" width="0.71875" style="53" customWidth="1"/>
    <col min="9" max="9" width="17.28125" style="52" customWidth="1"/>
    <col min="10" max="10" width="6.28125" style="54" bestFit="1" customWidth="1"/>
    <col min="11" max="11" width="0.71875" style="54" customWidth="1"/>
    <col min="12" max="12" width="6.8515625" style="53" bestFit="1" customWidth="1"/>
    <col min="13" max="13" width="4.140625" style="50" bestFit="1" customWidth="1"/>
    <col min="14" max="16384" width="9.140625" style="52" customWidth="1"/>
  </cols>
  <sheetData>
    <row r="1" spans="1:13" s="58" customFormat="1" ht="15.75">
      <c r="A1" s="31" t="s">
        <v>168</v>
      </c>
      <c r="B1" s="55"/>
      <c r="C1" s="55"/>
      <c r="D1" s="56"/>
      <c r="E1" s="56"/>
      <c r="F1" s="55"/>
      <c r="G1" s="56"/>
      <c r="H1" s="56"/>
      <c r="I1" s="55"/>
      <c r="J1" s="56"/>
      <c r="K1" s="56"/>
      <c r="L1" s="57"/>
      <c r="M1" s="55"/>
    </row>
    <row r="2" spans="1:13" s="58" customFormat="1" ht="15.75">
      <c r="A2" s="59"/>
      <c r="B2" s="55"/>
      <c r="C2" s="55"/>
      <c r="D2" s="56"/>
      <c r="E2" s="56"/>
      <c r="F2" s="55"/>
      <c r="G2" s="56"/>
      <c r="H2" s="56"/>
      <c r="I2" s="55"/>
      <c r="J2" s="56"/>
      <c r="K2" s="56"/>
      <c r="L2" s="57"/>
      <c r="M2" s="55"/>
    </row>
    <row r="3" spans="1:13" s="58" customFormat="1" ht="15.75">
      <c r="A3" s="59"/>
      <c r="B3" s="55"/>
      <c r="C3" s="55"/>
      <c r="D3" s="56"/>
      <c r="E3" s="56"/>
      <c r="F3" s="55"/>
      <c r="G3" s="56"/>
      <c r="H3" s="56"/>
      <c r="I3" s="55"/>
      <c r="J3" s="56"/>
      <c r="K3" s="56"/>
      <c r="L3" s="57"/>
      <c r="M3" s="55"/>
    </row>
    <row r="4" spans="1:13" s="58" customFormat="1" ht="15.75">
      <c r="A4" s="60" t="s">
        <v>63</v>
      </c>
      <c r="B4" s="60" t="s">
        <v>0</v>
      </c>
      <c r="C4" s="60" t="s">
        <v>100</v>
      </c>
      <c r="D4" s="61" t="s">
        <v>1</v>
      </c>
      <c r="E4" s="61"/>
      <c r="F4" s="60" t="s">
        <v>101</v>
      </c>
      <c r="G4" s="61" t="s">
        <v>1</v>
      </c>
      <c r="H4" s="61"/>
      <c r="I4" s="60" t="s">
        <v>102</v>
      </c>
      <c r="J4" s="61" t="s">
        <v>1</v>
      </c>
      <c r="K4" s="61"/>
      <c r="L4" s="61" t="s">
        <v>72</v>
      </c>
      <c r="M4" s="60" t="s">
        <v>23</v>
      </c>
    </row>
    <row r="5" spans="1:13" s="58" customFormat="1" ht="15.75">
      <c r="A5" s="60"/>
      <c r="B5" s="60"/>
      <c r="C5" s="60"/>
      <c r="D5" s="61"/>
      <c r="E5" s="61"/>
      <c r="F5" s="60"/>
      <c r="G5" s="61"/>
      <c r="H5" s="61"/>
      <c r="I5" s="60"/>
      <c r="J5" s="61"/>
      <c r="K5" s="61"/>
      <c r="L5" s="61"/>
      <c r="M5" s="60"/>
    </row>
    <row r="6" spans="1:13" s="58" customFormat="1" ht="15.75">
      <c r="A6" s="62" t="s">
        <v>112</v>
      </c>
      <c r="B6" s="62" t="s">
        <v>113</v>
      </c>
      <c r="C6" s="60"/>
      <c r="D6" s="61"/>
      <c r="E6" s="61"/>
      <c r="F6" s="60"/>
      <c r="G6" s="61"/>
      <c r="H6" s="61"/>
      <c r="I6" s="60"/>
      <c r="J6" s="61"/>
      <c r="K6" s="61"/>
      <c r="L6" s="61"/>
      <c r="M6" s="60"/>
    </row>
    <row r="7" spans="1:13" ht="15.75">
      <c r="A7" s="105">
        <v>1</v>
      </c>
      <c r="B7" s="106" t="s">
        <v>15</v>
      </c>
      <c r="C7" s="107" t="s">
        <v>210</v>
      </c>
      <c r="D7" s="108">
        <f>TIME(0,15,24)</f>
        <v>0.010694444444444444</v>
      </c>
      <c r="E7" s="108"/>
      <c r="F7" s="107" t="s">
        <v>211</v>
      </c>
      <c r="G7" s="108">
        <f>TIME(0,34,41)-D7</f>
        <v>0.013391203703703704</v>
      </c>
      <c r="H7" s="108"/>
      <c r="I7" s="107" t="s">
        <v>212</v>
      </c>
      <c r="J7" s="109">
        <f>TIME(0,53,43)-D7-G7</f>
        <v>0.013217592592592593</v>
      </c>
      <c r="K7" s="109"/>
      <c r="L7" s="108">
        <f>+J7+G7+D7</f>
        <v>0.03730324074074074</v>
      </c>
      <c r="M7" s="105">
        <v>1</v>
      </c>
    </row>
    <row r="8" spans="1:13" ht="15.75">
      <c r="A8" s="64"/>
      <c r="B8" s="99" t="s">
        <v>276</v>
      </c>
      <c r="C8" s="100" t="s">
        <v>278</v>
      </c>
      <c r="F8" s="100" t="s">
        <v>277</v>
      </c>
      <c r="G8" s="101">
        <v>0.02659722222222222</v>
      </c>
      <c r="M8" s="63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9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0.9921875" style="4" customWidth="1"/>
    <col min="2" max="2" width="14.421875" style="4" bestFit="1" customWidth="1"/>
    <col min="3" max="3" width="3.00390625" style="65" bestFit="1" customWidth="1"/>
    <col min="4" max="4" width="3.57421875" style="65" bestFit="1" customWidth="1"/>
    <col min="5" max="5" width="3.8515625" style="65" bestFit="1" customWidth="1"/>
    <col min="6" max="6" width="3.140625" style="65" bestFit="1" customWidth="1"/>
    <col min="7" max="7" width="3.00390625" style="65" bestFit="1" customWidth="1"/>
    <col min="8" max="8" width="3.421875" style="65" bestFit="1" customWidth="1"/>
    <col min="9" max="9" width="11.7109375" style="4" bestFit="1" customWidth="1"/>
    <col min="10" max="10" width="14.421875" style="4" bestFit="1" customWidth="1"/>
    <col min="11" max="11" width="2.7109375" style="65" bestFit="1" customWidth="1"/>
    <col min="12" max="12" width="3.57421875" style="65" bestFit="1" customWidth="1"/>
    <col min="13" max="13" width="3.8515625" style="65" bestFit="1" customWidth="1"/>
    <col min="14" max="14" width="3.140625" style="65" bestFit="1" customWidth="1"/>
    <col min="15" max="15" width="3.00390625" style="65" bestFit="1" customWidth="1"/>
    <col min="16" max="16" width="3.421875" style="65" bestFit="1" customWidth="1"/>
    <col min="17" max="17" width="1.421875" style="18" customWidth="1"/>
    <col min="18" max="18" width="1.421875" style="4" customWidth="1"/>
    <col min="19" max="19" width="1.421875" style="18" customWidth="1"/>
    <col min="20" max="20" width="14.421875" style="4" bestFit="1" customWidth="1"/>
    <col min="21" max="21" width="3.00390625" style="65" bestFit="1" customWidth="1"/>
    <col min="22" max="22" width="3.57421875" style="65" bestFit="1" customWidth="1"/>
    <col min="23" max="23" width="3.8515625" style="65" bestFit="1" customWidth="1"/>
    <col min="24" max="24" width="3.140625" style="65" bestFit="1" customWidth="1"/>
    <col min="25" max="25" width="3.00390625" style="65" bestFit="1" customWidth="1"/>
    <col min="26" max="26" width="3.421875" style="65" bestFit="1" customWidth="1"/>
    <col min="27" max="27" width="11.57421875" style="4" bestFit="1" customWidth="1"/>
    <col min="28" max="28" width="14.421875" style="4" bestFit="1" customWidth="1"/>
    <col min="29" max="29" width="2.7109375" style="65" bestFit="1" customWidth="1"/>
    <col min="30" max="30" width="3.57421875" style="65" bestFit="1" customWidth="1"/>
    <col min="31" max="31" width="3.8515625" style="65" bestFit="1" customWidth="1"/>
    <col min="32" max="32" width="3.140625" style="65" bestFit="1" customWidth="1"/>
    <col min="33" max="33" width="3.00390625" style="65" bestFit="1" customWidth="1"/>
    <col min="34" max="34" width="3.421875" style="65" bestFit="1" customWidth="1"/>
    <col min="35" max="16384" width="9.140625" style="4" customWidth="1"/>
  </cols>
  <sheetData>
    <row r="1" ht="12.75">
      <c r="R1" s="17"/>
    </row>
    <row r="2" spans="9:27" ht="15.75">
      <c r="I2" s="15" t="s">
        <v>109</v>
      </c>
      <c r="R2" s="17"/>
      <c r="AA2" s="15" t="s">
        <v>110</v>
      </c>
    </row>
    <row r="3" spans="10:18" ht="13.5" thickBot="1">
      <c r="J3" s="2"/>
      <c r="K3" s="1"/>
      <c r="L3" s="1"/>
      <c r="M3" s="1"/>
      <c r="N3" s="1"/>
      <c r="O3" s="1"/>
      <c r="P3" s="1"/>
      <c r="R3" s="17"/>
    </row>
    <row r="4" spans="2:34" ht="13.5" thickBot="1">
      <c r="B4" s="16" t="s">
        <v>89</v>
      </c>
      <c r="C4" s="66" t="s">
        <v>105</v>
      </c>
      <c r="D4" s="14" t="s">
        <v>108</v>
      </c>
      <c r="E4" s="14" t="s">
        <v>104</v>
      </c>
      <c r="F4" s="14" t="s">
        <v>111</v>
      </c>
      <c r="G4" s="14" t="s">
        <v>106</v>
      </c>
      <c r="H4" s="14" t="s">
        <v>107</v>
      </c>
      <c r="J4" s="16" t="s">
        <v>90</v>
      </c>
      <c r="K4" s="66" t="s">
        <v>105</v>
      </c>
      <c r="L4" s="14" t="s">
        <v>108</v>
      </c>
      <c r="M4" s="14" t="s">
        <v>104</v>
      </c>
      <c r="N4" s="14" t="s">
        <v>111</v>
      </c>
      <c r="O4" s="14" t="s">
        <v>106</v>
      </c>
      <c r="P4" s="14" t="s">
        <v>107</v>
      </c>
      <c r="R4" s="17"/>
      <c r="T4" s="16" t="s">
        <v>89</v>
      </c>
      <c r="U4" s="66" t="s">
        <v>105</v>
      </c>
      <c r="V4" s="14" t="s">
        <v>108</v>
      </c>
      <c r="W4" s="14" t="s">
        <v>104</v>
      </c>
      <c r="X4" s="14" t="s">
        <v>111</v>
      </c>
      <c r="Y4" s="14" t="s">
        <v>106</v>
      </c>
      <c r="Z4" s="14" t="s">
        <v>107</v>
      </c>
      <c r="AB4" s="16" t="s">
        <v>90</v>
      </c>
      <c r="AC4" s="66" t="s">
        <v>105</v>
      </c>
      <c r="AD4" s="14" t="s">
        <v>108</v>
      </c>
      <c r="AE4" s="14" t="s">
        <v>104</v>
      </c>
      <c r="AF4" s="14" t="s">
        <v>111</v>
      </c>
      <c r="AG4" s="14" t="s">
        <v>106</v>
      </c>
      <c r="AH4" s="14" t="s">
        <v>107</v>
      </c>
    </row>
    <row r="5" spans="2:34" ht="12.75">
      <c r="B5" s="43" t="s">
        <v>66</v>
      </c>
      <c r="C5" s="41">
        <v>10</v>
      </c>
      <c r="D5" s="67"/>
      <c r="E5" s="67"/>
      <c r="F5" s="67"/>
      <c r="G5" s="67"/>
      <c r="H5" s="68">
        <f aca="true" t="shared" si="0" ref="H5:H14">SUM(C5:G5)</f>
        <v>10</v>
      </c>
      <c r="J5" s="43" t="s">
        <v>15</v>
      </c>
      <c r="K5" s="41">
        <v>8</v>
      </c>
      <c r="L5" s="67"/>
      <c r="M5" s="67"/>
      <c r="N5" s="67"/>
      <c r="O5" s="67"/>
      <c r="P5" s="68">
        <f aca="true" t="shared" si="1" ref="P5:P12">SUM(K5:O5)</f>
        <v>8</v>
      </c>
      <c r="R5" s="17"/>
      <c r="T5" s="43" t="s">
        <v>9</v>
      </c>
      <c r="U5" s="69">
        <v>7</v>
      </c>
      <c r="V5" s="67"/>
      <c r="W5" s="67"/>
      <c r="X5" s="67"/>
      <c r="Y5" s="67"/>
      <c r="Z5" s="68">
        <f aca="true" t="shared" si="2" ref="Z5:Z11">SUM(U5:Y5)</f>
        <v>7</v>
      </c>
      <c r="AB5" s="43" t="s">
        <v>69</v>
      </c>
      <c r="AC5" s="41">
        <v>5</v>
      </c>
      <c r="AD5" s="79"/>
      <c r="AE5" s="79"/>
      <c r="AF5" s="79"/>
      <c r="AG5" s="79"/>
      <c r="AH5" s="68">
        <f>SUM(AC5:AG5)</f>
        <v>5</v>
      </c>
    </row>
    <row r="6" spans="2:34" ht="12.75">
      <c r="B6" s="43" t="s">
        <v>15</v>
      </c>
      <c r="C6" s="41">
        <v>9</v>
      </c>
      <c r="D6" s="46"/>
      <c r="E6" s="46"/>
      <c r="F6" s="46"/>
      <c r="G6" s="46"/>
      <c r="H6" s="68">
        <f t="shared" si="0"/>
        <v>9</v>
      </c>
      <c r="J6" s="43" t="s">
        <v>66</v>
      </c>
      <c r="K6" s="41">
        <v>7</v>
      </c>
      <c r="L6" s="46"/>
      <c r="M6" s="46"/>
      <c r="N6" s="46"/>
      <c r="O6" s="46"/>
      <c r="P6" s="68">
        <f t="shared" si="1"/>
        <v>7</v>
      </c>
      <c r="R6" s="17"/>
      <c r="T6" s="43" t="s">
        <v>69</v>
      </c>
      <c r="U6" s="69">
        <v>6</v>
      </c>
      <c r="V6" s="46"/>
      <c r="W6" s="46"/>
      <c r="X6" s="46"/>
      <c r="Y6" s="46"/>
      <c r="Z6" s="68">
        <f t="shared" si="2"/>
        <v>6</v>
      </c>
      <c r="AB6" s="43" t="s">
        <v>9</v>
      </c>
      <c r="AC6" s="41">
        <v>4</v>
      </c>
      <c r="AD6" s="80"/>
      <c r="AE6" s="80"/>
      <c r="AF6" s="80"/>
      <c r="AG6" s="80"/>
      <c r="AH6" s="68">
        <f>SUM(AC6:AG6)</f>
        <v>4</v>
      </c>
    </row>
    <row r="7" spans="2:34" ht="12.75">
      <c r="B7" s="43" t="s">
        <v>64</v>
      </c>
      <c r="C7" s="41">
        <v>8</v>
      </c>
      <c r="D7" s="46"/>
      <c r="E7" s="46"/>
      <c r="F7" s="46"/>
      <c r="G7" s="46"/>
      <c r="H7" s="68">
        <f t="shared" si="0"/>
        <v>8</v>
      </c>
      <c r="J7" s="43" t="s">
        <v>77</v>
      </c>
      <c r="K7" s="41">
        <v>6</v>
      </c>
      <c r="L7" s="46"/>
      <c r="M7" s="46"/>
      <c r="N7" s="46"/>
      <c r="O7" s="46"/>
      <c r="P7" s="68">
        <f t="shared" si="1"/>
        <v>6</v>
      </c>
      <c r="R7" s="17"/>
      <c r="T7" s="43" t="s">
        <v>91</v>
      </c>
      <c r="U7" s="69">
        <v>5</v>
      </c>
      <c r="V7" s="46"/>
      <c r="W7" s="46"/>
      <c r="X7" s="46"/>
      <c r="Y7" s="46"/>
      <c r="Z7" s="68">
        <f t="shared" si="2"/>
        <v>5</v>
      </c>
      <c r="AB7" s="43" t="s">
        <v>21</v>
      </c>
      <c r="AC7" s="41">
        <v>3</v>
      </c>
      <c r="AD7" s="80"/>
      <c r="AE7" s="80"/>
      <c r="AF7" s="80"/>
      <c r="AG7" s="80"/>
      <c r="AH7" s="68">
        <f>SUM(AC7:AG7)</f>
        <v>3</v>
      </c>
    </row>
    <row r="8" spans="2:34" ht="12.75">
      <c r="B8" s="43" t="s">
        <v>3</v>
      </c>
      <c r="C8" s="41">
        <v>7</v>
      </c>
      <c r="D8" s="46"/>
      <c r="E8" s="46"/>
      <c r="F8" s="46"/>
      <c r="G8" s="46"/>
      <c r="H8" s="68">
        <f t="shared" si="0"/>
        <v>7</v>
      </c>
      <c r="J8" s="43" t="s">
        <v>74</v>
      </c>
      <c r="K8" s="41">
        <v>5</v>
      </c>
      <c r="L8" s="46"/>
      <c r="M8" s="46"/>
      <c r="N8" s="46"/>
      <c r="O8" s="46"/>
      <c r="P8" s="68">
        <f t="shared" si="1"/>
        <v>5</v>
      </c>
      <c r="R8" s="17"/>
      <c r="T8" s="43" t="s">
        <v>70</v>
      </c>
      <c r="U8" s="69">
        <v>4</v>
      </c>
      <c r="V8" s="46"/>
      <c r="W8" s="46"/>
      <c r="X8" s="46"/>
      <c r="Y8" s="46"/>
      <c r="Z8" s="68">
        <f t="shared" si="2"/>
        <v>4</v>
      </c>
      <c r="AB8" s="43" t="s">
        <v>263</v>
      </c>
      <c r="AC8" s="41">
        <v>2</v>
      </c>
      <c r="AD8" s="46"/>
      <c r="AE8" s="46"/>
      <c r="AF8" s="46"/>
      <c r="AG8" s="46"/>
      <c r="AH8" s="74">
        <f>SUM(AC8:AG8)</f>
        <v>2</v>
      </c>
    </row>
    <row r="9" spans="2:34" ht="12.75">
      <c r="B9" s="43" t="s">
        <v>65</v>
      </c>
      <c r="C9" s="41">
        <v>6</v>
      </c>
      <c r="D9" s="46"/>
      <c r="E9" s="46"/>
      <c r="F9" s="46"/>
      <c r="G9" s="46"/>
      <c r="H9" s="68">
        <f t="shared" si="0"/>
        <v>6</v>
      </c>
      <c r="J9" s="43" t="s">
        <v>189</v>
      </c>
      <c r="K9" s="41">
        <v>4</v>
      </c>
      <c r="L9" s="46"/>
      <c r="M9" s="46"/>
      <c r="N9" s="46"/>
      <c r="O9" s="46"/>
      <c r="P9" s="68">
        <f t="shared" si="1"/>
        <v>4</v>
      </c>
      <c r="R9" s="17"/>
      <c r="T9" s="43" t="s">
        <v>21</v>
      </c>
      <c r="U9" s="69">
        <v>3</v>
      </c>
      <c r="V9" s="46"/>
      <c r="W9" s="46"/>
      <c r="X9" s="46"/>
      <c r="Y9" s="46"/>
      <c r="Z9" s="68">
        <f t="shared" si="2"/>
        <v>3</v>
      </c>
      <c r="AB9" s="43" t="s">
        <v>78</v>
      </c>
      <c r="AC9" s="41">
        <v>1</v>
      </c>
      <c r="AD9" s="46"/>
      <c r="AE9" s="46"/>
      <c r="AF9" s="46"/>
      <c r="AG9" s="46"/>
      <c r="AH9" s="74">
        <v>5</v>
      </c>
    </row>
    <row r="10" spans="2:34" ht="12.75">
      <c r="B10" s="43" t="s">
        <v>73</v>
      </c>
      <c r="C10" s="41">
        <v>5</v>
      </c>
      <c r="D10" s="46"/>
      <c r="E10" s="46"/>
      <c r="F10" s="46"/>
      <c r="G10" s="46"/>
      <c r="H10" s="68">
        <f t="shared" si="0"/>
        <v>5</v>
      </c>
      <c r="J10" s="43" t="s">
        <v>3</v>
      </c>
      <c r="K10" s="41">
        <v>3</v>
      </c>
      <c r="L10" s="46"/>
      <c r="M10" s="46"/>
      <c r="N10" s="46"/>
      <c r="O10" s="46"/>
      <c r="P10" s="68">
        <f t="shared" si="1"/>
        <v>3</v>
      </c>
      <c r="R10" s="17"/>
      <c r="T10" s="43" t="s">
        <v>92</v>
      </c>
      <c r="U10" s="69">
        <v>2</v>
      </c>
      <c r="V10" s="46"/>
      <c r="W10" s="46"/>
      <c r="X10" s="46"/>
      <c r="Y10" s="46"/>
      <c r="Z10" s="68">
        <f t="shared" si="2"/>
        <v>2</v>
      </c>
      <c r="AB10" s="5"/>
      <c r="AC10" s="46"/>
      <c r="AD10" s="46"/>
      <c r="AE10" s="46"/>
      <c r="AF10" s="46"/>
      <c r="AG10" s="46"/>
      <c r="AH10" s="74"/>
    </row>
    <row r="11" spans="2:34" ht="12.75">
      <c r="B11" s="43" t="s">
        <v>68</v>
      </c>
      <c r="C11" s="41">
        <v>4</v>
      </c>
      <c r="D11" s="46"/>
      <c r="E11" s="46"/>
      <c r="F11" s="46"/>
      <c r="G11" s="46"/>
      <c r="H11" s="68">
        <f t="shared" si="0"/>
        <v>4</v>
      </c>
      <c r="J11" s="43" t="s">
        <v>67</v>
      </c>
      <c r="K11" s="41">
        <v>2</v>
      </c>
      <c r="L11" s="46"/>
      <c r="M11" s="46"/>
      <c r="N11" s="46"/>
      <c r="O11" s="46"/>
      <c r="P11" s="68">
        <f t="shared" si="1"/>
        <v>2</v>
      </c>
      <c r="R11" s="17"/>
      <c r="T11" s="43" t="s">
        <v>78</v>
      </c>
      <c r="U11" s="46">
        <v>1</v>
      </c>
      <c r="V11" s="46"/>
      <c r="W11" s="46"/>
      <c r="X11" s="46"/>
      <c r="Y11" s="46"/>
      <c r="Z11" s="74">
        <f t="shared" si="2"/>
        <v>1</v>
      </c>
      <c r="AB11" s="5"/>
      <c r="AC11" s="46"/>
      <c r="AD11" s="46"/>
      <c r="AE11" s="46"/>
      <c r="AF11" s="46"/>
      <c r="AG11" s="46"/>
      <c r="AH11" s="74"/>
    </row>
    <row r="12" spans="2:34" ht="12.75">
      <c r="B12" s="43" t="s">
        <v>67</v>
      </c>
      <c r="C12" s="41">
        <v>3</v>
      </c>
      <c r="D12" s="46"/>
      <c r="E12" s="46"/>
      <c r="F12" s="46"/>
      <c r="G12" s="46"/>
      <c r="H12" s="68">
        <f t="shared" si="0"/>
        <v>3</v>
      </c>
      <c r="J12" s="43" t="s">
        <v>64</v>
      </c>
      <c r="K12" s="41">
        <v>1</v>
      </c>
      <c r="L12" s="46"/>
      <c r="M12" s="46"/>
      <c r="N12" s="46"/>
      <c r="O12" s="46"/>
      <c r="P12" s="68">
        <f t="shared" si="1"/>
        <v>1</v>
      </c>
      <c r="R12" s="17"/>
      <c r="T12" s="5"/>
      <c r="U12" s="46"/>
      <c r="V12" s="46"/>
      <c r="W12" s="46"/>
      <c r="X12" s="46"/>
      <c r="Y12" s="46"/>
      <c r="Z12" s="74">
        <f>SUM(U12:Y12)</f>
        <v>0</v>
      </c>
      <c r="AB12" s="5"/>
      <c r="AC12" s="46"/>
      <c r="AD12" s="46"/>
      <c r="AE12" s="46"/>
      <c r="AF12" s="46"/>
      <c r="AG12" s="46"/>
      <c r="AH12" s="74"/>
    </row>
    <row r="13" spans="2:34" ht="13.5" thickBot="1">
      <c r="B13" s="43" t="s">
        <v>53</v>
      </c>
      <c r="C13" s="41">
        <v>2</v>
      </c>
      <c r="D13" s="46"/>
      <c r="E13" s="46"/>
      <c r="F13" s="46"/>
      <c r="G13" s="46"/>
      <c r="H13" s="68">
        <f t="shared" si="0"/>
        <v>2</v>
      </c>
      <c r="J13" s="7"/>
      <c r="K13" s="70"/>
      <c r="L13" s="71"/>
      <c r="M13" s="71"/>
      <c r="N13" s="71"/>
      <c r="O13" s="71"/>
      <c r="P13" s="77"/>
      <c r="R13" s="17"/>
      <c r="T13" s="7"/>
      <c r="U13" s="71"/>
      <c r="V13" s="71"/>
      <c r="W13" s="71"/>
      <c r="X13" s="71"/>
      <c r="Y13" s="71"/>
      <c r="Z13" s="72">
        <f>SUM(U13:Y13)</f>
        <v>0</v>
      </c>
      <c r="AB13" s="7"/>
      <c r="AC13" s="71"/>
      <c r="AD13" s="71"/>
      <c r="AE13" s="71"/>
      <c r="AF13" s="71"/>
      <c r="AG13" s="71"/>
      <c r="AH13" s="72"/>
    </row>
    <row r="14" spans="2:34" ht="13.5" thickBot="1">
      <c r="B14" s="43" t="s">
        <v>74</v>
      </c>
      <c r="C14" s="41">
        <v>1</v>
      </c>
      <c r="D14" s="71"/>
      <c r="E14" s="71"/>
      <c r="F14" s="71"/>
      <c r="G14" s="71"/>
      <c r="H14" s="72">
        <f t="shared" si="0"/>
        <v>1</v>
      </c>
      <c r="L14" s="78"/>
      <c r="M14" s="78"/>
      <c r="N14" s="78"/>
      <c r="O14" s="78"/>
      <c r="P14" s="78"/>
      <c r="R14" s="17"/>
      <c r="T14" s="3"/>
      <c r="U14" s="1"/>
      <c r="V14" s="1"/>
      <c r="W14" s="1"/>
      <c r="X14" s="1"/>
      <c r="Y14" s="1"/>
      <c r="Z14" s="1"/>
      <c r="AB14" s="3"/>
      <c r="AC14" s="1"/>
      <c r="AD14" s="1"/>
      <c r="AE14" s="1"/>
      <c r="AF14" s="1"/>
      <c r="AG14" s="1"/>
      <c r="AH14" s="1"/>
    </row>
    <row r="15" ht="12.75">
      <c r="R15" s="17"/>
    </row>
    <row r="16" ht="13.5" thickBot="1">
      <c r="R16" s="17"/>
    </row>
    <row r="17" spans="2:34" ht="13.5" thickBot="1">
      <c r="B17" s="16" t="s">
        <v>93</v>
      </c>
      <c r="C17" s="66" t="s">
        <v>105</v>
      </c>
      <c r="D17" s="14" t="s">
        <v>108</v>
      </c>
      <c r="E17" s="14" t="s">
        <v>104</v>
      </c>
      <c r="F17" s="14" t="s">
        <v>111</v>
      </c>
      <c r="G17" s="14" t="s">
        <v>106</v>
      </c>
      <c r="H17" s="14" t="s">
        <v>107</v>
      </c>
      <c r="J17" s="16" t="s">
        <v>94</v>
      </c>
      <c r="K17" s="66" t="s">
        <v>105</v>
      </c>
      <c r="L17" s="14" t="s">
        <v>108</v>
      </c>
      <c r="M17" s="14" t="s">
        <v>104</v>
      </c>
      <c r="N17" s="14" t="s">
        <v>111</v>
      </c>
      <c r="O17" s="14" t="s">
        <v>106</v>
      </c>
      <c r="P17" s="14" t="s">
        <v>107</v>
      </c>
      <c r="R17" s="17"/>
      <c r="T17" s="16" t="s">
        <v>93</v>
      </c>
      <c r="U17" s="89" t="s">
        <v>105</v>
      </c>
      <c r="V17" s="27" t="s">
        <v>108</v>
      </c>
      <c r="W17" s="27" t="s">
        <v>104</v>
      </c>
      <c r="X17" s="27" t="s">
        <v>111</v>
      </c>
      <c r="Y17" s="27" t="s">
        <v>106</v>
      </c>
      <c r="Z17" s="27" t="s">
        <v>107</v>
      </c>
      <c r="AB17" s="16" t="s">
        <v>94</v>
      </c>
      <c r="AC17" s="66" t="s">
        <v>105</v>
      </c>
      <c r="AD17" s="14" t="s">
        <v>108</v>
      </c>
      <c r="AE17" s="14" t="s">
        <v>104</v>
      </c>
      <c r="AF17" s="14" t="s">
        <v>111</v>
      </c>
      <c r="AG17" s="14" t="s">
        <v>106</v>
      </c>
      <c r="AH17" s="14" t="s">
        <v>107</v>
      </c>
    </row>
    <row r="18" spans="2:34" ht="12.75">
      <c r="B18" s="43" t="s">
        <v>73</v>
      </c>
      <c r="C18" s="41">
        <v>5</v>
      </c>
      <c r="D18" s="67"/>
      <c r="E18" s="67"/>
      <c r="F18" s="67"/>
      <c r="G18" s="67"/>
      <c r="H18" s="68">
        <f aca="true" t="shared" si="3" ref="H18:H23">SUM(C18:G18)</f>
        <v>5</v>
      </c>
      <c r="J18" s="43" t="s">
        <v>64</v>
      </c>
      <c r="K18" s="41">
        <v>6</v>
      </c>
      <c r="L18" s="79"/>
      <c r="M18" s="79"/>
      <c r="N18" s="79"/>
      <c r="O18" s="79"/>
      <c r="P18" s="68">
        <f aca="true" t="shared" si="4" ref="P18:P23">SUM(K18:O18)</f>
        <v>6</v>
      </c>
      <c r="R18" s="17"/>
      <c r="T18" s="43" t="s">
        <v>9</v>
      </c>
      <c r="U18" s="41">
        <v>1</v>
      </c>
      <c r="V18" s="94"/>
      <c r="W18" s="94"/>
      <c r="X18" s="94"/>
      <c r="Y18" s="94"/>
      <c r="Z18" s="94"/>
      <c r="AB18" s="43" t="s">
        <v>70</v>
      </c>
      <c r="AC18" s="41">
        <v>2</v>
      </c>
      <c r="AD18" s="67"/>
      <c r="AE18" s="67"/>
      <c r="AF18" s="67"/>
      <c r="AG18" s="67"/>
      <c r="AH18" s="92">
        <f>SUM(AC18:AG18)</f>
        <v>2</v>
      </c>
    </row>
    <row r="19" spans="2:34" ht="12.75">
      <c r="B19" s="43" t="s">
        <v>65</v>
      </c>
      <c r="C19" s="41">
        <v>4</v>
      </c>
      <c r="D19" s="46"/>
      <c r="E19" s="46"/>
      <c r="F19" s="46"/>
      <c r="G19" s="46"/>
      <c r="H19" s="68">
        <f t="shared" si="3"/>
        <v>4</v>
      </c>
      <c r="J19" s="43" t="s">
        <v>79</v>
      </c>
      <c r="K19" s="41">
        <v>5</v>
      </c>
      <c r="L19" s="80"/>
      <c r="M19" s="80"/>
      <c r="N19" s="80"/>
      <c r="O19" s="80"/>
      <c r="P19" s="68">
        <f t="shared" si="4"/>
        <v>5</v>
      </c>
      <c r="R19" s="17"/>
      <c r="T19" s="3"/>
      <c r="U19" s="1"/>
      <c r="V19" s="1"/>
      <c r="W19" s="1"/>
      <c r="X19" s="1"/>
      <c r="Y19" s="1"/>
      <c r="Z19" s="1"/>
      <c r="AB19" s="43" t="s">
        <v>9</v>
      </c>
      <c r="AC19" s="41">
        <v>1</v>
      </c>
      <c r="AD19" s="46"/>
      <c r="AE19" s="46"/>
      <c r="AF19" s="46"/>
      <c r="AG19" s="46"/>
      <c r="AH19" s="68">
        <f>SUM(AC19:AG19)</f>
        <v>1</v>
      </c>
    </row>
    <row r="20" spans="2:34" ht="12.75">
      <c r="B20" s="43" t="s">
        <v>15</v>
      </c>
      <c r="C20" s="41">
        <v>3</v>
      </c>
      <c r="D20" s="46"/>
      <c r="E20" s="46"/>
      <c r="F20" s="46"/>
      <c r="G20" s="46"/>
      <c r="H20" s="68">
        <f t="shared" si="3"/>
        <v>3</v>
      </c>
      <c r="J20" s="43" t="s">
        <v>67</v>
      </c>
      <c r="K20" s="41">
        <v>4</v>
      </c>
      <c r="L20" s="80"/>
      <c r="M20" s="80"/>
      <c r="N20" s="80"/>
      <c r="O20" s="80"/>
      <c r="P20" s="68">
        <f t="shared" si="4"/>
        <v>4</v>
      </c>
      <c r="R20" s="17"/>
      <c r="T20" s="3"/>
      <c r="U20" s="1"/>
      <c r="V20" s="1"/>
      <c r="W20" s="1"/>
      <c r="X20" s="1"/>
      <c r="Y20" s="1"/>
      <c r="Z20" s="1"/>
      <c r="AB20" s="5"/>
      <c r="AC20" s="46"/>
      <c r="AD20" s="46"/>
      <c r="AE20" s="46"/>
      <c r="AF20" s="46"/>
      <c r="AG20" s="46"/>
      <c r="AH20" s="74"/>
    </row>
    <row r="21" spans="2:34" ht="12.75">
      <c r="B21" s="43" t="s">
        <v>67</v>
      </c>
      <c r="C21" s="41">
        <v>2</v>
      </c>
      <c r="D21" s="73"/>
      <c r="E21" s="73"/>
      <c r="F21" s="73"/>
      <c r="G21" s="73"/>
      <c r="H21" s="68">
        <f t="shared" si="3"/>
        <v>2</v>
      </c>
      <c r="J21" s="43" t="s">
        <v>15</v>
      </c>
      <c r="K21" s="41">
        <v>3</v>
      </c>
      <c r="L21" s="81"/>
      <c r="M21" s="81"/>
      <c r="N21" s="81"/>
      <c r="O21" s="81"/>
      <c r="P21" s="68">
        <f t="shared" si="4"/>
        <v>3</v>
      </c>
      <c r="R21" s="17"/>
      <c r="V21" s="1"/>
      <c r="W21" s="1"/>
      <c r="X21" s="1"/>
      <c r="Y21" s="1"/>
      <c r="Z21" s="1"/>
      <c r="AB21" s="24"/>
      <c r="AC21" s="46"/>
      <c r="AD21" s="46"/>
      <c r="AE21" s="46"/>
      <c r="AF21" s="46"/>
      <c r="AG21" s="46"/>
      <c r="AH21" s="74"/>
    </row>
    <row r="22" spans="2:34" ht="13.5" thickBot="1">
      <c r="B22" s="43" t="s">
        <v>53</v>
      </c>
      <c r="C22" s="41">
        <v>1</v>
      </c>
      <c r="D22" s="46"/>
      <c r="E22" s="46"/>
      <c r="F22" s="46"/>
      <c r="G22" s="46"/>
      <c r="H22" s="74">
        <f t="shared" si="3"/>
        <v>1</v>
      </c>
      <c r="J22" s="43" t="s">
        <v>80</v>
      </c>
      <c r="K22" s="41">
        <v>2</v>
      </c>
      <c r="L22" s="82"/>
      <c r="M22" s="82"/>
      <c r="N22" s="82"/>
      <c r="O22" s="82"/>
      <c r="P22" s="83">
        <f t="shared" si="4"/>
        <v>2</v>
      </c>
      <c r="R22" s="17"/>
      <c r="V22" s="1"/>
      <c r="W22" s="1"/>
      <c r="X22" s="1"/>
      <c r="Y22" s="1"/>
      <c r="Z22" s="1"/>
      <c r="AB22" s="23"/>
      <c r="AC22" s="71"/>
      <c r="AD22" s="71"/>
      <c r="AE22" s="71"/>
      <c r="AF22" s="71"/>
      <c r="AG22" s="71"/>
      <c r="AH22" s="72"/>
    </row>
    <row r="23" spans="2:34" ht="13.5" thickBot="1">
      <c r="B23" s="7"/>
      <c r="C23" s="71"/>
      <c r="D23" s="71"/>
      <c r="E23" s="71"/>
      <c r="F23" s="71"/>
      <c r="G23" s="71"/>
      <c r="H23" s="74">
        <f t="shared" si="3"/>
        <v>0</v>
      </c>
      <c r="J23" s="43" t="s">
        <v>53</v>
      </c>
      <c r="K23" s="41">
        <v>1</v>
      </c>
      <c r="L23" s="84"/>
      <c r="M23" s="84"/>
      <c r="N23" s="84"/>
      <c r="O23" s="84"/>
      <c r="P23" s="85">
        <f t="shared" si="4"/>
        <v>1</v>
      </c>
      <c r="R23" s="17"/>
      <c r="V23" s="1"/>
      <c r="W23" s="1"/>
      <c r="X23" s="1"/>
      <c r="Y23" s="1"/>
      <c r="Z23" s="1"/>
      <c r="AD23" s="1"/>
      <c r="AE23" s="1"/>
      <c r="AF23" s="1"/>
      <c r="AG23" s="1"/>
      <c r="AH23" s="1"/>
    </row>
    <row r="24" ht="12.75">
      <c r="R24" s="17"/>
    </row>
    <row r="25" spans="18:34" ht="13.5" thickBot="1">
      <c r="R25" s="17"/>
      <c r="AB25" s="110"/>
      <c r="AC25" s="76"/>
      <c r="AD25" s="76"/>
      <c r="AE25" s="76"/>
      <c r="AF25" s="76"/>
      <c r="AG25" s="76"/>
      <c r="AH25" s="76"/>
    </row>
    <row r="26" spans="2:34" ht="13.5" thickBot="1">
      <c r="B26" s="16" t="s">
        <v>95</v>
      </c>
      <c r="C26" s="28" t="s">
        <v>105</v>
      </c>
      <c r="D26" s="28" t="s">
        <v>108</v>
      </c>
      <c r="E26" s="28" t="s">
        <v>104</v>
      </c>
      <c r="F26" s="28" t="s">
        <v>111</v>
      </c>
      <c r="G26" s="28" t="s">
        <v>106</v>
      </c>
      <c r="H26" s="28" t="s">
        <v>107</v>
      </c>
      <c r="J26" s="16" t="s">
        <v>96</v>
      </c>
      <c r="K26" s="66" t="s">
        <v>105</v>
      </c>
      <c r="L26" s="14" t="s">
        <v>108</v>
      </c>
      <c r="M26" s="14" t="s">
        <v>104</v>
      </c>
      <c r="N26" s="14" t="s">
        <v>111</v>
      </c>
      <c r="O26" s="14" t="s">
        <v>106</v>
      </c>
      <c r="P26" s="14" t="s">
        <v>107</v>
      </c>
      <c r="R26" s="17"/>
      <c r="T26" s="16" t="s">
        <v>95</v>
      </c>
      <c r="U26" s="66" t="s">
        <v>105</v>
      </c>
      <c r="V26" s="14" t="s">
        <v>108</v>
      </c>
      <c r="W26" s="14" t="s">
        <v>104</v>
      </c>
      <c r="X26" s="14" t="s">
        <v>111</v>
      </c>
      <c r="Y26" s="14" t="s">
        <v>106</v>
      </c>
      <c r="Z26" s="14" t="s">
        <v>107</v>
      </c>
      <c r="AB26" s="111" t="s">
        <v>96</v>
      </c>
      <c r="AC26" s="28" t="s">
        <v>105</v>
      </c>
      <c r="AD26" s="28" t="s">
        <v>108</v>
      </c>
      <c r="AE26" s="28" t="s">
        <v>104</v>
      </c>
      <c r="AF26" s="28" t="s">
        <v>111</v>
      </c>
      <c r="AG26" s="28" t="s">
        <v>106</v>
      </c>
      <c r="AH26" s="28" t="s">
        <v>107</v>
      </c>
    </row>
    <row r="27" spans="2:34" ht="12.75">
      <c r="B27" s="112" t="s">
        <v>15</v>
      </c>
      <c r="C27" s="41">
        <v>6</v>
      </c>
      <c r="D27" s="67"/>
      <c r="E27" s="67"/>
      <c r="F27" s="67"/>
      <c r="G27" s="67"/>
      <c r="H27" s="75">
        <f aca="true" t="shared" si="5" ref="H27:H32">SUM(C27:G27)</f>
        <v>6</v>
      </c>
      <c r="J27" s="43" t="s">
        <v>60</v>
      </c>
      <c r="K27" s="41">
        <v>5</v>
      </c>
      <c r="L27" s="67"/>
      <c r="M27" s="67"/>
      <c r="N27" s="67"/>
      <c r="O27" s="67"/>
      <c r="P27" s="68">
        <f>SUM(K27:O27)</f>
        <v>5</v>
      </c>
      <c r="R27" s="17"/>
      <c r="T27" s="8" t="s">
        <v>76</v>
      </c>
      <c r="U27" s="67"/>
      <c r="V27" s="79"/>
      <c r="W27" s="79"/>
      <c r="X27" s="79"/>
      <c r="Y27" s="79"/>
      <c r="Z27" s="68">
        <f>SUM(U27:Y27)</f>
        <v>0</v>
      </c>
      <c r="AB27" s="113" t="s">
        <v>69</v>
      </c>
      <c r="AC27" s="114">
        <v>5</v>
      </c>
      <c r="AD27" s="73"/>
      <c r="AE27" s="73"/>
      <c r="AF27" s="73"/>
      <c r="AG27" s="73"/>
      <c r="AH27" s="115">
        <f>SUM(AC27:AG27)</f>
        <v>5</v>
      </c>
    </row>
    <row r="28" spans="2:34" ht="12.75">
      <c r="B28" s="112" t="s">
        <v>53</v>
      </c>
      <c r="C28" s="41">
        <v>5</v>
      </c>
      <c r="D28" s="46"/>
      <c r="E28" s="46"/>
      <c r="F28" s="46"/>
      <c r="G28" s="46"/>
      <c r="H28" s="74">
        <f t="shared" si="5"/>
        <v>5</v>
      </c>
      <c r="J28" s="43" t="s">
        <v>53</v>
      </c>
      <c r="K28" s="41">
        <v>4</v>
      </c>
      <c r="L28" s="46"/>
      <c r="M28" s="46"/>
      <c r="N28" s="46"/>
      <c r="O28" s="46"/>
      <c r="P28" s="68">
        <f>SUM(K28:O28)</f>
        <v>4</v>
      </c>
      <c r="R28" s="17"/>
      <c r="T28" s="5" t="s">
        <v>70</v>
      </c>
      <c r="U28" s="69"/>
      <c r="V28" s="46"/>
      <c r="W28" s="46"/>
      <c r="X28" s="46"/>
      <c r="Y28" s="46"/>
      <c r="Z28" s="68">
        <f>SUM(U28:Y28)</f>
        <v>0</v>
      </c>
      <c r="AB28" s="112" t="s">
        <v>165</v>
      </c>
      <c r="AC28" s="41">
        <v>4</v>
      </c>
      <c r="AD28" s="46"/>
      <c r="AE28" s="46"/>
      <c r="AF28" s="46"/>
      <c r="AG28" s="46"/>
      <c r="AH28" s="74">
        <f>SUM(AC28:AG28)</f>
        <v>4</v>
      </c>
    </row>
    <row r="29" spans="2:34" ht="12.75">
      <c r="B29" s="112" t="s">
        <v>73</v>
      </c>
      <c r="C29" s="41">
        <v>4</v>
      </c>
      <c r="D29" s="46"/>
      <c r="E29" s="46"/>
      <c r="F29" s="46"/>
      <c r="G29" s="46"/>
      <c r="H29" s="74">
        <f t="shared" si="5"/>
        <v>4</v>
      </c>
      <c r="J29" s="43" t="s">
        <v>64</v>
      </c>
      <c r="K29" s="41">
        <v>3</v>
      </c>
      <c r="L29" s="46"/>
      <c r="M29" s="46"/>
      <c r="N29" s="46"/>
      <c r="O29" s="46"/>
      <c r="P29" s="68">
        <f>SUM(K29:O29)</f>
        <v>3</v>
      </c>
      <c r="R29" s="17"/>
      <c r="T29" s="5" t="s">
        <v>91</v>
      </c>
      <c r="U29" s="46"/>
      <c r="V29" s="46"/>
      <c r="W29" s="46"/>
      <c r="X29" s="46"/>
      <c r="Y29" s="46"/>
      <c r="Z29" s="74">
        <f>SUM(U29:Y29)</f>
        <v>0</v>
      </c>
      <c r="AB29" s="112" t="s">
        <v>70</v>
      </c>
      <c r="AC29" s="41">
        <v>3</v>
      </c>
      <c r="AD29" s="46"/>
      <c r="AE29" s="46"/>
      <c r="AF29" s="46"/>
      <c r="AG29" s="46"/>
      <c r="AH29" s="74">
        <f>SUM(AC29:AG29)</f>
        <v>3</v>
      </c>
    </row>
    <row r="30" spans="2:34" ht="13.5" thickBot="1">
      <c r="B30" s="112" t="s">
        <v>67</v>
      </c>
      <c r="C30" s="41">
        <v>3</v>
      </c>
      <c r="D30" s="46"/>
      <c r="E30" s="46"/>
      <c r="F30" s="46"/>
      <c r="G30" s="46"/>
      <c r="H30" s="74">
        <f>SUM(C30:G30)</f>
        <v>3</v>
      </c>
      <c r="J30" s="43" t="s">
        <v>66</v>
      </c>
      <c r="K30" s="41">
        <v>2</v>
      </c>
      <c r="L30" s="46"/>
      <c r="M30" s="46"/>
      <c r="N30" s="46"/>
      <c r="O30" s="46"/>
      <c r="P30" s="68">
        <f>SUM(K30:O30)</f>
        <v>2</v>
      </c>
      <c r="R30" s="17"/>
      <c r="T30" s="7" t="s">
        <v>9</v>
      </c>
      <c r="U30" s="71"/>
      <c r="V30" s="71"/>
      <c r="W30" s="71"/>
      <c r="X30" s="71"/>
      <c r="Y30" s="71"/>
      <c r="Z30" s="74">
        <f>SUM(U30:Y30)</f>
        <v>0</v>
      </c>
      <c r="AB30" s="112" t="s">
        <v>78</v>
      </c>
      <c r="AC30" s="41">
        <v>2</v>
      </c>
      <c r="AD30" s="46"/>
      <c r="AE30" s="46"/>
      <c r="AF30" s="46"/>
      <c r="AG30" s="46"/>
      <c r="AH30" s="74">
        <f>SUM(AC30:AG30)</f>
        <v>2</v>
      </c>
    </row>
    <row r="31" spans="2:34" ht="13.5" thickBot="1">
      <c r="B31" s="112" t="s">
        <v>77</v>
      </c>
      <c r="C31" s="41">
        <v>2</v>
      </c>
      <c r="D31" s="46"/>
      <c r="E31" s="46"/>
      <c r="F31" s="46"/>
      <c r="G31" s="46"/>
      <c r="H31" s="74">
        <f>SUM(C31:G31)</f>
        <v>2</v>
      </c>
      <c r="J31" s="43" t="s">
        <v>67</v>
      </c>
      <c r="K31" s="41">
        <v>1</v>
      </c>
      <c r="L31" s="46"/>
      <c r="M31" s="46"/>
      <c r="N31" s="46"/>
      <c r="O31" s="46"/>
      <c r="P31" s="74">
        <f>SUM(K31:O31)</f>
        <v>1</v>
      </c>
      <c r="R31" s="17"/>
      <c r="T31" s="3"/>
      <c r="U31" s="1"/>
      <c r="V31" s="1"/>
      <c r="W31" s="1"/>
      <c r="X31" s="1"/>
      <c r="Y31" s="1"/>
      <c r="Z31" s="1"/>
      <c r="AB31" s="116" t="s">
        <v>59</v>
      </c>
      <c r="AC31" s="117">
        <v>1</v>
      </c>
      <c r="AD31" s="71"/>
      <c r="AE31" s="71"/>
      <c r="AF31" s="71"/>
      <c r="AG31" s="71"/>
      <c r="AH31" s="72">
        <f>SUM(AC31:AG31)</f>
        <v>1</v>
      </c>
    </row>
    <row r="32" spans="2:34" ht="12.75">
      <c r="B32" s="112" t="s">
        <v>64</v>
      </c>
      <c r="C32" s="41">
        <v>1</v>
      </c>
      <c r="D32" s="46"/>
      <c r="E32" s="46"/>
      <c r="F32" s="46"/>
      <c r="G32" s="46"/>
      <c r="H32" s="74">
        <f t="shared" si="5"/>
        <v>1</v>
      </c>
      <c r="J32" s="5"/>
      <c r="K32" s="46"/>
      <c r="L32" s="46"/>
      <c r="M32" s="46"/>
      <c r="N32" s="46"/>
      <c r="O32" s="46"/>
      <c r="P32" s="74"/>
      <c r="R32" s="17"/>
      <c r="T32" s="3"/>
      <c r="U32" s="1"/>
      <c r="V32" s="1"/>
      <c r="W32" s="1"/>
      <c r="X32" s="1"/>
      <c r="Y32" s="1"/>
      <c r="Z32" s="1"/>
      <c r="AB32" s="3"/>
      <c r="AC32" s="1"/>
      <c r="AD32" s="1"/>
      <c r="AE32" s="1"/>
      <c r="AF32" s="1"/>
      <c r="AG32" s="1"/>
      <c r="AH32" s="1"/>
    </row>
    <row r="33" spans="2:34" ht="13.5" thickBot="1">
      <c r="B33" s="5"/>
      <c r="C33" s="46"/>
      <c r="D33" s="46"/>
      <c r="E33" s="46"/>
      <c r="F33" s="46"/>
      <c r="G33" s="46"/>
      <c r="H33" s="74"/>
      <c r="J33" s="7"/>
      <c r="K33" s="71"/>
      <c r="L33" s="71"/>
      <c r="M33" s="71"/>
      <c r="N33" s="71"/>
      <c r="O33" s="71"/>
      <c r="P33" s="72"/>
      <c r="R33" s="17"/>
      <c r="T33" s="3"/>
      <c r="U33" s="1"/>
      <c r="V33" s="1"/>
      <c r="W33" s="1"/>
      <c r="X33" s="1"/>
      <c r="Y33" s="1"/>
      <c r="Z33" s="1"/>
      <c r="AB33" s="3"/>
      <c r="AC33" s="1"/>
      <c r="AD33" s="1"/>
      <c r="AE33" s="1"/>
      <c r="AF33" s="1"/>
      <c r="AG33" s="1"/>
      <c r="AH33" s="1"/>
    </row>
    <row r="34" spans="2:34" ht="13.5" thickBot="1">
      <c r="B34" s="7"/>
      <c r="C34" s="71"/>
      <c r="D34" s="71"/>
      <c r="E34" s="71"/>
      <c r="F34" s="71"/>
      <c r="G34" s="71"/>
      <c r="H34" s="72"/>
      <c r="J34" s="3"/>
      <c r="K34" s="1"/>
      <c r="L34" s="1"/>
      <c r="M34" s="1"/>
      <c r="N34" s="1"/>
      <c r="O34" s="1"/>
      <c r="P34" s="1"/>
      <c r="R34" s="17"/>
      <c r="T34" s="3"/>
      <c r="U34" s="1"/>
      <c r="V34" s="1"/>
      <c r="W34" s="1"/>
      <c r="X34" s="1"/>
      <c r="Y34" s="1"/>
      <c r="Z34" s="1"/>
      <c r="AB34" s="3"/>
      <c r="AC34" s="1"/>
      <c r="AD34" s="1"/>
      <c r="AE34" s="1"/>
      <c r="AF34" s="1"/>
      <c r="AG34" s="1"/>
      <c r="AH34" s="1"/>
    </row>
    <row r="35" spans="2:34" ht="12.75">
      <c r="B35" s="9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R35" s="17"/>
      <c r="T35" s="3"/>
      <c r="U35" s="1"/>
      <c r="V35" s="1"/>
      <c r="W35" s="1"/>
      <c r="X35" s="1"/>
      <c r="Y35" s="1"/>
      <c r="Z35" s="1"/>
      <c r="AB35" s="3"/>
      <c r="AC35" s="1"/>
      <c r="AD35" s="1"/>
      <c r="AE35" s="1"/>
      <c r="AF35" s="1"/>
      <c r="AG35" s="1"/>
      <c r="AH35" s="1"/>
    </row>
    <row r="36" spans="2:20" ht="13.5" thickBot="1">
      <c r="B36" s="3"/>
      <c r="R36" s="17"/>
      <c r="T36" s="3"/>
    </row>
    <row r="37" spans="2:34" ht="13.5" thickBot="1">
      <c r="B37" s="16" t="s">
        <v>97</v>
      </c>
      <c r="C37" s="66" t="s">
        <v>105</v>
      </c>
      <c r="D37" s="14" t="s">
        <v>108</v>
      </c>
      <c r="E37" s="14" t="s">
        <v>104</v>
      </c>
      <c r="F37" s="14" t="s">
        <v>111</v>
      </c>
      <c r="G37" s="14" t="s">
        <v>106</v>
      </c>
      <c r="H37" s="14" t="s">
        <v>107</v>
      </c>
      <c r="J37" s="16" t="s">
        <v>98</v>
      </c>
      <c r="K37" s="66" t="s">
        <v>105</v>
      </c>
      <c r="L37" s="14" t="s">
        <v>108</v>
      </c>
      <c r="M37" s="14" t="s">
        <v>104</v>
      </c>
      <c r="N37" s="14" t="s">
        <v>111</v>
      </c>
      <c r="O37" s="14" t="s">
        <v>106</v>
      </c>
      <c r="P37" s="14" t="s">
        <v>107</v>
      </c>
      <c r="R37" s="17"/>
      <c r="T37" s="16" t="s">
        <v>97</v>
      </c>
      <c r="U37" s="66" t="s">
        <v>105</v>
      </c>
      <c r="V37" s="14" t="s">
        <v>108</v>
      </c>
      <c r="W37" s="14" t="s">
        <v>104</v>
      </c>
      <c r="X37" s="14" t="s">
        <v>111</v>
      </c>
      <c r="Y37" s="14" t="s">
        <v>106</v>
      </c>
      <c r="Z37" s="14" t="s">
        <v>107</v>
      </c>
      <c r="AB37" s="16" t="s">
        <v>98</v>
      </c>
      <c r="AC37" s="66" t="s">
        <v>105</v>
      </c>
      <c r="AD37" s="14" t="s">
        <v>108</v>
      </c>
      <c r="AE37" s="14" t="s">
        <v>104</v>
      </c>
      <c r="AF37" s="14" t="s">
        <v>111</v>
      </c>
      <c r="AG37" s="14" t="s">
        <v>106</v>
      </c>
      <c r="AH37" s="14" t="s">
        <v>107</v>
      </c>
    </row>
    <row r="38" spans="2:34" ht="13.5" thickBot="1">
      <c r="B38" s="113" t="s">
        <v>154</v>
      </c>
      <c r="C38" s="114">
        <v>6</v>
      </c>
      <c r="D38" s="73"/>
      <c r="E38" s="73"/>
      <c r="F38" s="73"/>
      <c r="G38" s="73"/>
      <c r="H38" s="115">
        <f aca="true" t="shared" si="6" ref="H38:H43">SUM(C38:G38)</f>
        <v>6</v>
      </c>
      <c r="J38" s="112" t="s">
        <v>64</v>
      </c>
      <c r="K38" s="41">
        <v>2</v>
      </c>
      <c r="L38" s="87"/>
      <c r="M38" s="88"/>
      <c r="N38" s="88"/>
      <c r="O38" s="88"/>
      <c r="P38" s="77">
        <f>SUM(K38:O38)</f>
        <v>2</v>
      </c>
      <c r="R38" s="17"/>
      <c r="T38" s="13" t="s">
        <v>70</v>
      </c>
      <c r="U38" s="90"/>
      <c r="V38" s="86"/>
      <c r="W38" s="86"/>
      <c r="X38" s="86"/>
      <c r="Y38" s="86"/>
      <c r="Z38" s="66">
        <f>SUM(U38:Y38)</f>
        <v>0</v>
      </c>
      <c r="AB38" s="6"/>
      <c r="AC38" s="78"/>
      <c r="AD38" s="78"/>
      <c r="AE38" s="78"/>
      <c r="AF38" s="78"/>
      <c r="AG38" s="78"/>
      <c r="AH38" s="78"/>
    </row>
    <row r="39" spans="2:34" ht="13.5" thickBot="1">
      <c r="B39" s="112" t="s">
        <v>15</v>
      </c>
      <c r="C39" s="41">
        <v>5</v>
      </c>
      <c r="D39" s="46"/>
      <c r="E39" s="46"/>
      <c r="F39" s="46"/>
      <c r="G39" s="46"/>
      <c r="H39" s="74">
        <f t="shared" si="6"/>
        <v>5</v>
      </c>
      <c r="J39" s="116" t="s">
        <v>15</v>
      </c>
      <c r="K39" s="117">
        <v>1</v>
      </c>
      <c r="L39" s="118"/>
      <c r="M39" s="118"/>
      <c r="N39" s="118"/>
      <c r="O39" s="118"/>
      <c r="P39" s="119">
        <f>SUM(K39:O39)</f>
        <v>1</v>
      </c>
      <c r="R39" s="17"/>
      <c r="T39" s="3"/>
      <c r="U39" s="1"/>
      <c r="V39" s="1"/>
      <c r="W39" s="1"/>
      <c r="X39" s="1"/>
      <c r="Y39" s="1"/>
      <c r="Z39" s="1"/>
      <c r="AB39" s="3"/>
      <c r="AC39" s="1"/>
      <c r="AD39" s="1"/>
      <c r="AE39" s="1"/>
      <c r="AF39" s="1"/>
      <c r="AG39" s="1"/>
      <c r="AH39" s="1"/>
    </row>
    <row r="40" spans="2:34" ht="15">
      <c r="B40" s="112" t="s">
        <v>74</v>
      </c>
      <c r="C40" s="41">
        <v>4</v>
      </c>
      <c r="D40" s="46"/>
      <c r="E40" s="46"/>
      <c r="F40" s="46"/>
      <c r="G40" s="46"/>
      <c r="H40" s="74">
        <f t="shared" si="6"/>
        <v>4</v>
      </c>
      <c r="J40" s="3"/>
      <c r="K40" s="1"/>
      <c r="L40" s="1"/>
      <c r="M40" s="1"/>
      <c r="N40" s="1"/>
      <c r="O40" s="1"/>
      <c r="P40" s="1"/>
      <c r="R40" s="17"/>
      <c r="T40" s="10"/>
      <c r="U40" s="91"/>
      <c r="V40" s="1"/>
      <c r="W40" s="1"/>
      <c r="X40" s="1"/>
      <c r="Y40" s="1"/>
      <c r="Z40" s="1"/>
      <c r="AB40" s="3"/>
      <c r="AC40" s="1"/>
      <c r="AD40" s="1"/>
      <c r="AE40" s="1"/>
      <c r="AF40" s="1"/>
      <c r="AG40" s="1"/>
      <c r="AH40" s="1"/>
    </row>
    <row r="41" spans="2:34" ht="12.75">
      <c r="B41" s="112" t="s">
        <v>66</v>
      </c>
      <c r="C41" s="41">
        <v>3</v>
      </c>
      <c r="D41" s="46"/>
      <c r="E41" s="46"/>
      <c r="F41" s="46"/>
      <c r="G41" s="46"/>
      <c r="H41" s="74">
        <f t="shared" si="6"/>
        <v>3</v>
      </c>
      <c r="R41" s="17"/>
      <c r="V41" s="1"/>
      <c r="W41" s="1"/>
      <c r="X41" s="1"/>
      <c r="Y41" s="1"/>
      <c r="Z41" s="1"/>
      <c r="AD41" s="1"/>
      <c r="AE41" s="1"/>
      <c r="AF41" s="1"/>
      <c r="AG41" s="1"/>
      <c r="AH41" s="1"/>
    </row>
    <row r="42" spans="2:34" ht="13.5" thickBot="1">
      <c r="B42" s="112" t="s">
        <v>53</v>
      </c>
      <c r="C42" s="41">
        <v>2</v>
      </c>
      <c r="D42" s="46"/>
      <c r="E42" s="46"/>
      <c r="F42" s="46"/>
      <c r="G42" s="46"/>
      <c r="H42" s="74">
        <f t="shared" si="6"/>
        <v>2</v>
      </c>
      <c r="R42" s="17"/>
      <c r="V42" s="1"/>
      <c r="W42" s="1"/>
      <c r="X42" s="1"/>
      <c r="Y42" s="1"/>
      <c r="Z42" s="1"/>
      <c r="AD42" s="1"/>
      <c r="AE42" s="1"/>
      <c r="AF42" s="1"/>
      <c r="AG42" s="1"/>
      <c r="AH42" s="1"/>
    </row>
    <row r="43" spans="2:34" ht="13.5" thickBot="1">
      <c r="B43" s="116" t="s">
        <v>67</v>
      </c>
      <c r="C43" s="117">
        <v>1</v>
      </c>
      <c r="D43" s="71"/>
      <c r="E43" s="71"/>
      <c r="F43" s="71"/>
      <c r="G43" s="71"/>
      <c r="H43" s="72">
        <f t="shared" si="6"/>
        <v>1</v>
      </c>
      <c r="J43" s="16" t="s">
        <v>99</v>
      </c>
      <c r="K43" s="66" t="s">
        <v>105</v>
      </c>
      <c r="L43" s="14" t="s">
        <v>108</v>
      </c>
      <c r="M43" s="14" t="s">
        <v>104</v>
      </c>
      <c r="N43" s="14" t="s">
        <v>111</v>
      </c>
      <c r="O43" s="14" t="s">
        <v>106</v>
      </c>
      <c r="P43" s="14" t="s">
        <v>107</v>
      </c>
      <c r="R43" s="17"/>
      <c r="V43" s="1"/>
      <c r="W43" s="1"/>
      <c r="X43" s="1"/>
      <c r="Y43" s="1"/>
      <c r="Z43" s="1"/>
      <c r="AB43" s="29" t="s">
        <v>99</v>
      </c>
      <c r="AC43" s="93" t="s">
        <v>105</v>
      </c>
      <c r="AD43" s="30" t="s">
        <v>108</v>
      </c>
      <c r="AE43" s="30" t="s">
        <v>104</v>
      </c>
      <c r="AF43" s="30" t="s">
        <v>111</v>
      </c>
      <c r="AG43" s="30" t="s">
        <v>106</v>
      </c>
      <c r="AH43" s="30" t="s">
        <v>107</v>
      </c>
    </row>
    <row r="44" spans="10:34" ht="12.75">
      <c r="J44" s="11" t="s">
        <v>15</v>
      </c>
      <c r="K44" s="46">
        <v>1</v>
      </c>
      <c r="L44" s="79"/>
      <c r="M44" s="67"/>
      <c r="N44" s="67"/>
      <c r="O44" s="67"/>
      <c r="P44" s="68">
        <v>1</v>
      </c>
      <c r="R44" s="17"/>
      <c r="V44" s="1"/>
      <c r="W44" s="1"/>
      <c r="X44" s="1"/>
      <c r="Y44" s="1"/>
      <c r="Z44" s="1"/>
      <c r="AB44" s="11" t="s">
        <v>9</v>
      </c>
      <c r="AC44" s="46"/>
      <c r="AD44" s="46"/>
      <c r="AE44" s="46"/>
      <c r="AF44" s="46"/>
      <c r="AG44" s="46"/>
      <c r="AH44" s="74">
        <f>SUM(AC44:AG44)</f>
        <v>0</v>
      </c>
    </row>
    <row r="45" spans="10:34" ht="13.5" thickBot="1">
      <c r="J45" s="120"/>
      <c r="K45" s="2"/>
      <c r="L45" s="46"/>
      <c r="M45" s="46"/>
      <c r="N45" s="46"/>
      <c r="O45" s="46"/>
      <c r="P45" s="74"/>
      <c r="R45" s="17"/>
      <c r="AB45" s="7" t="s">
        <v>73</v>
      </c>
      <c r="AC45" s="71"/>
      <c r="AD45" s="71"/>
      <c r="AE45" s="71"/>
      <c r="AF45" s="71"/>
      <c r="AG45" s="71"/>
      <c r="AH45" s="74">
        <f>SUM(AC45:AG45)</f>
        <v>0</v>
      </c>
    </row>
    <row r="46" spans="10:18" ht="12.75">
      <c r="J46" s="11"/>
      <c r="K46" s="46"/>
      <c r="L46" s="46"/>
      <c r="M46" s="46"/>
      <c r="N46" s="46"/>
      <c r="O46" s="46"/>
      <c r="P46" s="74"/>
      <c r="R46" s="17"/>
    </row>
    <row r="47" spans="10:18" ht="13.5" thickBot="1">
      <c r="J47" s="7"/>
      <c r="K47" s="71"/>
      <c r="L47" s="71"/>
      <c r="M47" s="71"/>
      <c r="N47" s="71"/>
      <c r="O47" s="71"/>
      <c r="P47" s="72"/>
      <c r="R47" s="17"/>
    </row>
    <row r="48" ht="12.75">
      <c r="R48" s="17"/>
    </row>
    <row r="49" ht="12.75">
      <c r="R49" s="17"/>
    </row>
    <row r="50" ht="12.75">
      <c r="R50" s="17"/>
    </row>
    <row r="51" ht="12.75">
      <c r="R51" s="17"/>
    </row>
    <row r="52" ht="12.75">
      <c r="R52" s="17"/>
    </row>
    <row r="53" ht="12.75">
      <c r="R53" s="17"/>
    </row>
    <row r="54" ht="12.75">
      <c r="R54" s="17"/>
    </row>
    <row r="55" ht="12.75">
      <c r="R55" s="17"/>
    </row>
    <row r="56" ht="12.75">
      <c r="R56" s="17"/>
    </row>
    <row r="57" ht="12.75">
      <c r="R57" s="17"/>
    </row>
    <row r="58" ht="12.75">
      <c r="R58" s="17"/>
    </row>
    <row r="59" ht="12.75">
      <c r="R59" s="17"/>
    </row>
  </sheetData>
  <sheetProtection/>
  <printOptions/>
  <pageMargins left="0.08" right="0.5" top="0.34" bottom="0.6" header="0.24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Liam Burke</cp:lastModifiedBy>
  <cp:lastPrinted>2015-07-22T13:34:03Z</cp:lastPrinted>
  <dcterms:created xsi:type="dcterms:W3CDTF">2014-05-07T13:41:56Z</dcterms:created>
  <dcterms:modified xsi:type="dcterms:W3CDTF">2016-05-18T13:49:45Z</dcterms:modified>
  <cp:category/>
  <cp:version/>
  <cp:contentType/>
  <cp:contentStatus/>
</cp:coreProperties>
</file>