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n" sheetId="1" r:id="rId1"/>
    <sheet name="Women" sheetId="2" r:id="rId2"/>
    <sheet name="Juniors" sheetId="3" r:id="rId3"/>
    <sheet name="Standings" sheetId="4" r:id="rId4"/>
  </sheets>
  <definedNames>
    <definedName name="_xlnm.Print_Area" localSheetId="1">'Women'!$A$1:$M$46</definedName>
    <definedName name="Excel_BuiltIn__FilterDatabase" localSheetId="3">'Standings'!$T$10:$Z$11</definedName>
  </definedNames>
  <calcPr fullCalcOnLoad="1"/>
</workbook>
</file>

<file path=xl/sharedStrings.xml><?xml version="1.0" encoding="utf-8"?>
<sst xmlns="http://schemas.openxmlformats.org/spreadsheetml/2006/main" count="652" uniqueCount="351">
  <si>
    <t>East Kent Summer Inter Club Relays - Race 4: Dymchurch 27/06/2017   Mens League</t>
  </si>
  <si>
    <t>Pos</t>
  </si>
  <si>
    <t>Club Name</t>
  </si>
  <si>
    <t>Leg 1</t>
  </si>
  <si>
    <t>Time</t>
  </si>
  <si>
    <t>Leg 2</t>
  </si>
  <si>
    <t>Leg 3</t>
  </si>
  <si>
    <t>Leg 4</t>
  </si>
  <si>
    <t xml:space="preserve">Total </t>
  </si>
  <si>
    <t>Pts</t>
  </si>
  <si>
    <t>Senior</t>
  </si>
  <si>
    <t>A League</t>
  </si>
  <si>
    <t>South Kent H A</t>
  </si>
  <si>
    <t>Tom Millard</t>
  </si>
  <si>
    <t>Mike Coleman</t>
  </si>
  <si>
    <t>Jack Goss</t>
  </si>
  <si>
    <t>Sam Rigby</t>
  </si>
  <si>
    <t>Ashford &amp; Dist A</t>
  </si>
  <si>
    <t>CJ Lattimer</t>
  </si>
  <si>
    <t>Robert Latala</t>
  </si>
  <si>
    <t>Trevor Kay</t>
  </si>
  <si>
    <t>Jon Pearce</t>
  </si>
  <si>
    <t>Folkestone RC A</t>
  </si>
  <si>
    <t>Phil Hoyland</t>
  </si>
  <si>
    <t>Dave Gillett</t>
  </si>
  <si>
    <t>James Stroud</t>
  </si>
  <si>
    <t>Lloyd Worsley</t>
  </si>
  <si>
    <t>Ashford AC A</t>
  </si>
  <si>
    <t>Marshall Smith</t>
  </si>
  <si>
    <t>Gerard O'Sullivan</t>
  </si>
  <si>
    <t>Phi Heathfield</t>
  </si>
  <si>
    <t>Dover RR A</t>
  </si>
  <si>
    <t>Alan Wood</t>
  </si>
  <si>
    <t>Dave Tyler</t>
  </si>
  <si>
    <t>Chris Searson</t>
  </si>
  <si>
    <t>Ian McGilloway</t>
  </si>
  <si>
    <t>Thanet RR A</t>
  </si>
  <si>
    <t>Ben Sanders</t>
  </si>
  <si>
    <t>Andrew Richardson</t>
  </si>
  <si>
    <t>Carl Boarder</t>
  </si>
  <si>
    <t>Richard Purton</t>
  </si>
  <si>
    <t>Hastings Runners A</t>
  </si>
  <si>
    <t>Ethan Hodges</t>
  </si>
  <si>
    <t>Michael Grass</t>
  </si>
  <si>
    <t>Andy Edmonds</t>
  </si>
  <si>
    <t>Matt Edmonds</t>
  </si>
  <si>
    <t>Ashford Tri A</t>
  </si>
  <si>
    <t>Keith Russell</t>
  </si>
  <si>
    <t>Vic Silver</t>
  </si>
  <si>
    <t>Adey Porter</t>
  </si>
  <si>
    <t>Jay Brown</t>
  </si>
  <si>
    <t>Canterbury H A</t>
  </si>
  <si>
    <t>Mark Duffy</t>
  </si>
  <si>
    <t>Mark Peacock</t>
  </si>
  <si>
    <t>Stuart Marchant</t>
  </si>
  <si>
    <t>Richard Hudson</t>
  </si>
  <si>
    <t>Deal Tri A</t>
  </si>
  <si>
    <t>John Day</t>
  </si>
  <si>
    <t>Andy Swan</t>
  </si>
  <si>
    <t>B League</t>
  </si>
  <si>
    <t>Folkestone RC B</t>
  </si>
  <si>
    <t>Nick Steele</t>
  </si>
  <si>
    <t>Morgan West</t>
  </si>
  <si>
    <t>Stuart Eskine</t>
  </si>
  <si>
    <t>Simon Coffey</t>
  </si>
  <si>
    <t>South Kent H B</t>
  </si>
  <si>
    <t>Dan Carter</t>
  </si>
  <si>
    <t>Ali Scott</t>
  </si>
  <si>
    <t>John Creane</t>
  </si>
  <si>
    <t>Gary Brisley</t>
  </si>
  <si>
    <t>Dover RR B</t>
  </si>
  <si>
    <t>Warren Uden</t>
  </si>
  <si>
    <t>Sean Richards</t>
  </si>
  <si>
    <t>Chris Kirby</t>
  </si>
  <si>
    <t>Dan Butcher</t>
  </si>
  <si>
    <t>Ashford &amp; Dist. B</t>
  </si>
  <si>
    <t>Shane Dragwidge</t>
  </si>
  <si>
    <t>Mark Carlton</t>
  </si>
  <si>
    <t>Chris Boyce</t>
  </si>
  <si>
    <t>Ryan Edwards</t>
  </si>
  <si>
    <t>South Kent H C</t>
  </si>
  <si>
    <t>Dom Woolford</t>
  </si>
  <si>
    <t>Keith Renault</t>
  </si>
  <si>
    <t>Craig Hoveman</t>
  </si>
  <si>
    <t>Glen Abel</t>
  </si>
  <si>
    <t>Folkestone RC C</t>
  </si>
  <si>
    <t>Jordan Mosses</t>
  </si>
  <si>
    <t>Clive Allon</t>
  </si>
  <si>
    <t>Ashford &amp; Dist. C</t>
  </si>
  <si>
    <t>Matt Crook</t>
  </si>
  <si>
    <t>Ben Smith</t>
  </si>
  <si>
    <t>Vet40</t>
  </si>
  <si>
    <t>Jon Wells</t>
  </si>
  <si>
    <t>Scott Lynch</t>
  </si>
  <si>
    <t>Julius Samson</t>
  </si>
  <si>
    <t>Robin Butler</t>
  </si>
  <si>
    <t>JP Jeffery</t>
  </si>
  <si>
    <t>Darren Crew</t>
  </si>
  <si>
    <t>Paul Barrett</t>
  </si>
  <si>
    <t>Tim Warren</t>
  </si>
  <si>
    <t>Glen Wilson</t>
  </si>
  <si>
    <t>Mike Denson</t>
  </si>
  <si>
    <t>John Mathews</t>
  </si>
  <si>
    <t>Steve Clark</t>
  </si>
  <si>
    <t>Chris Brenchley</t>
  </si>
  <si>
    <t>Ade Neaves</t>
  </si>
  <si>
    <t>Oliver Northrop</t>
  </si>
  <si>
    <t>Spencer Hoult</t>
  </si>
  <si>
    <t>Ashford Tri B</t>
  </si>
  <si>
    <t>Ian Dunning</t>
  </si>
  <si>
    <t>Andy Cromwell</t>
  </si>
  <si>
    <t>Paul Gauntlett</t>
  </si>
  <si>
    <t>Chris Francis</t>
  </si>
  <si>
    <t>Jared Dobson</t>
  </si>
  <si>
    <t>Neil Coleman</t>
  </si>
  <si>
    <t>Billy Baker</t>
  </si>
  <si>
    <t>Invicta E K A</t>
  </si>
  <si>
    <t>Michael Gallyer-Barnett</t>
  </si>
  <si>
    <t xml:space="preserve"> </t>
  </si>
  <si>
    <t>Ashford &amp; Dist B</t>
  </si>
  <si>
    <t>Richard Archer</t>
  </si>
  <si>
    <t>Richard Baker</t>
  </si>
  <si>
    <t>Daniel Green</t>
  </si>
  <si>
    <t>Keith Haynes</t>
  </si>
  <si>
    <t>Ashford &amp; Dist C</t>
  </si>
  <si>
    <t>Stu Nunn</t>
  </si>
  <si>
    <t>Brad Bunk</t>
  </si>
  <si>
    <t>Jon Wiles</t>
  </si>
  <si>
    <t>Mark Attenborough</t>
  </si>
  <si>
    <t>Tony Scott</t>
  </si>
  <si>
    <t>Andy Richardson</t>
  </si>
  <si>
    <t>Phil Maull</t>
  </si>
  <si>
    <t>Richard Fowles</t>
  </si>
  <si>
    <t>Vet50</t>
  </si>
  <si>
    <t>Rob Whittaker</t>
  </si>
  <si>
    <t>Peter Bowell</t>
  </si>
  <si>
    <t>Martin Kelk</t>
  </si>
  <si>
    <t>Andy Noble</t>
  </si>
  <si>
    <t>Barry Hogben</t>
  </si>
  <si>
    <t>Dave Weekes</t>
  </si>
  <si>
    <t>James McNeill</t>
  </si>
  <si>
    <t>Ray Pearce</t>
  </si>
  <si>
    <t>John Lennon</t>
  </si>
  <si>
    <t>Andrew Watson</t>
  </si>
  <si>
    <t>Ken Hughes</t>
  </si>
  <si>
    <t>Neil Sellman</t>
  </si>
  <si>
    <t>Ashford &amp; Dist. A</t>
  </si>
  <si>
    <t>Paul Moses</t>
  </si>
  <si>
    <t>Adrian Moody</t>
  </si>
  <si>
    <t>Kevan James</t>
  </si>
  <si>
    <t>Tim Thirkettle</t>
  </si>
  <si>
    <t>Steve Clarke</t>
  </si>
  <si>
    <t>Jon Holl</t>
  </si>
  <si>
    <t>Mark Sluman</t>
  </si>
  <si>
    <t>Rob Spain</t>
  </si>
  <si>
    <t>Richard Phillips</t>
  </si>
  <si>
    <t>Andrew Keeley</t>
  </si>
  <si>
    <t>Simon Reed</t>
  </si>
  <si>
    <t>Stephen Hollands</t>
  </si>
  <si>
    <t>Phil Wyard</t>
  </si>
  <si>
    <t>Bob Pullen</t>
  </si>
  <si>
    <t>Tim Perks</t>
  </si>
  <si>
    <t>Terry Sellen</t>
  </si>
  <si>
    <t>Rod Kessack</t>
  </si>
  <si>
    <t>Simon Jackson</t>
  </si>
  <si>
    <t>Carl Ireland</t>
  </si>
  <si>
    <t>Steve Hickman</t>
  </si>
  <si>
    <t>Nigel Costiff</t>
  </si>
  <si>
    <t>Invicta E K B</t>
  </si>
  <si>
    <t>Andrew Gibbens</t>
  </si>
  <si>
    <t>Patrick Coleman</t>
  </si>
  <si>
    <t>Martin McConnel</t>
  </si>
  <si>
    <t>John Thorpe</t>
  </si>
  <si>
    <t>Vet60</t>
  </si>
  <si>
    <t>Nick Webb</t>
  </si>
  <si>
    <t>David Bratby</t>
  </si>
  <si>
    <t>Andy Lee</t>
  </si>
  <si>
    <t>Brian Davis</t>
  </si>
  <si>
    <t>Alan Fletcher</t>
  </si>
  <si>
    <t>Dave Smith</t>
  </si>
  <si>
    <t>David Winch</t>
  </si>
  <si>
    <t>Steve Jones</t>
  </si>
  <si>
    <t>Peter Heath</t>
  </si>
  <si>
    <t xml:space="preserve">Canterbury H </t>
  </si>
  <si>
    <t>Gerry Reilly</t>
  </si>
  <si>
    <t>Roy Gooderson</t>
  </si>
  <si>
    <t>Geoff Burston</t>
  </si>
  <si>
    <t>Ian Pettitt</t>
  </si>
  <si>
    <t>Tony Jones</t>
  </si>
  <si>
    <t>Dan Hallett</t>
  </si>
  <si>
    <t>Canterbury H B</t>
  </si>
  <si>
    <t>Bob Davison</t>
  </si>
  <si>
    <t>Joe Hicks</t>
  </si>
  <si>
    <t>Graham Eke</t>
  </si>
  <si>
    <t>Malcolm Gibbs</t>
  </si>
  <si>
    <t>Richard Dyer</t>
  </si>
  <si>
    <t>NS Teams</t>
  </si>
  <si>
    <t>Ashford Tri Club Mixed</t>
  </si>
  <si>
    <t>Becca Harry</t>
  </si>
  <si>
    <t>Becca Ashby</t>
  </si>
  <si>
    <t>Jack Ashby</t>
  </si>
  <si>
    <t>East Kent Summer Inter Club Relays - Race 4: Dymchurch 27/06/2017   Womens League</t>
  </si>
  <si>
    <t>Nikki Goodwin</t>
  </si>
  <si>
    <t>Tracy Wilkinson-Begg</t>
  </si>
  <si>
    <t>Karen Puttock</t>
  </si>
  <si>
    <t>Christine Costiff</t>
  </si>
  <si>
    <t>Gill O'Connor</t>
  </si>
  <si>
    <t>Danyel Carter</t>
  </si>
  <si>
    <t>Amanda Bashford</t>
  </si>
  <si>
    <t>Katie Austen</t>
  </si>
  <si>
    <t>Willow Frost</t>
  </si>
  <si>
    <t>Josie O'Sullivan</t>
  </si>
  <si>
    <t>Candy Hawkins</t>
  </si>
  <si>
    <t>Briony Walsh</t>
  </si>
  <si>
    <t>Abigail Cardwell</t>
  </si>
  <si>
    <t>Becky Hales</t>
  </si>
  <si>
    <t>Nikki Boyes</t>
  </si>
  <si>
    <t>Alicia Lilley</t>
  </si>
  <si>
    <t>Louise Black</t>
  </si>
  <si>
    <t>Amy Simpson</t>
  </si>
  <si>
    <t>Jess Phillips</t>
  </si>
  <si>
    <t>Hannah Renault</t>
  </si>
  <si>
    <t>Sarah Howlett</t>
  </si>
  <si>
    <t>Heather Clarke</t>
  </si>
  <si>
    <t>Kiki Brown</t>
  </si>
  <si>
    <t>Manami Cleves</t>
  </si>
  <si>
    <t>Sammy Jo Foster</t>
  </si>
  <si>
    <t>Stephanie Bancroft</t>
  </si>
  <si>
    <t>Emma McCabe</t>
  </si>
  <si>
    <t>Abi Collins</t>
  </si>
  <si>
    <t>Hazel Turner</t>
  </si>
  <si>
    <t>Jaclyn Kay</t>
  </si>
  <si>
    <t>Elo Dee Paviot</t>
  </si>
  <si>
    <t>Rachel Harle</t>
  </si>
  <si>
    <t>Laura Segust</t>
  </si>
  <si>
    <t>Laura Bullard</t>
  </si>
  <si>
    <t>Francis Hunt</t>
  </si>
  <si>
    <t>Rhian Shrimplin</t>
  </si>
  <si>
    <t>Orla Quearney</t>
  </si>
  <si>
    <t>Jane Wren</t>
  </si>
  <si>
    <t>Louise Fowler</t>
  </si>
  <si>
    <t>Lisa Smith</t>
  </si>
  <si>
    <t>Kirsty Harper</t>
  </si>
  <si>
    <t>Zoe Holmes</t>
  </si>
  <si>
    <t>Nicola McLaren</t>
  </si>
  <si>
    <t>Ashford &amp; Dist. D</t>
  </si>
  <si>
    <t>Julie Foster</t>
  </si>
  <si>
    <t>Sophie Edmonds</t>
  </si>
  <si>
    <t>Sue Reader</t>
  </si>
  <si>
    <t>Hastings Runners B</t>
  </si>
  <si>
    <t>Sarah Gale</t>
  </si>
  <si>
    <t>Yockie Richardson</t>
  </si>
  <si>
    <t>Lisa Grass</t>
  </si>
  <si>
    <t>Ashford AC B</t>
  </si>
  <si>
    <t>Vicky Travis</t>
  </si>
  <si>
    <t>Heather Hayes</t>
  </si>
  <si>
    <t>Invcita E K</t>
  </si>
  <si>
    <t>Lydia Gallyer-Barnett</t>
  </si>
  <si>
    <t>Vet35</t>
  </si>
  <si>
    <t>Gemma Jeffrey</t>
  </si>
  <si>
    <t>Nicola Charlton</t>
  </si>
  <si>
    <t>Fiona Tester</t>
  </si>
  <si>
    <t>Abi Coleman</t>
  </si>
  <si>
    <t>Renata McDonell</t>
  </si>
  <si>
    <t>Cathy Hollands</t>
  </si>
  <si>
    <t>Zoe Neale</t>
  </si>
  <si>
    <t>Jenny Quinn</t>
  </si>
  <si>
    <t>Gail Turbutt</t>
  </si>
  <si>
    <t>Emma Roberts</t>
  </si>
  <si>
    <t>Sylvia Barrett</t>
  </si>
  <si>
    <t>Angela Parker</t>
  </si>
  <si>
    <t>Thanet RR</t>
  </si>
  <si>
    <t>Julia Hermitage</t>
  </si>
  <si>
    <t>Pauline Pettit</t>
  </si>
  <si>
    <t>Allison Hawes</t>
  </si>
  <si>
    <t>Sarah Harvey</t>
  </si>
  <si>
    <t>Elizabeth Jenkins</t>
  </si>
  <si>
    <t>Deborah Jenson</t>
  </si>
  <si>
    <t>Caroline Wetherill</t>
  </si>
  <si>
    <t>Julie Bradford</t>
  </si>
  <si>
    <t>Jennee Gardner</t>
  </si>
  <si>
    <t>Jody Stokes</t>
  </si>
  <si>
    <t>Angela Saunders</t>
  </si>
  <si>
    <t>Catriona Watts</t>
  </si>
  <si>
    <t>Karen Evans</t>
  </si>
  <si>
    <t>Kirsten Mueller</t>
  </si>
  <si>
    <t>Ceri Spain</t>
  </si>
  <si>
    <t>Vet45</t>
  </si>
  <si>
    <t>Folkestone RC  A</t>
  </si>
  <si>
    <t>Debbie Jeffery</t>
  </si>
  <si>
    <t>Catherine O'Connor</t>
  </si>
  <si>
    <t>Caroline Curtis</t>
  </si>
  <si>
    <t>Jill Cliff</t>
  </si>
  <si>
    <t>Yvonne Elliot</t>
  </si>
  <si>
    <t>Hillary Collins</t>
  </si>
  <si>
    <t xml:space="preserve">Thanet RR </t>
  </si>
  <si>
    <t>Jo Holl</t>
  </si>
  <si>
    <t>Janet Morgan</t>
  </si>
  <si>
    <t>Sarah Harmes</t>
  </si>
  <si>
    <t>Tracy Foote</t>
  </si>
  <si>
    <t>Jo Daniels</t>
  </si>
  <si>
    <t>Michelle Barnes</t>
  </si>
  <si>
    <t>Vet55</t>
  </si>
  <si>
    <t>Wendy de Boick</t>
  </si>
  <si>
    <t>Catriona Colthart</t>
  </si>
  <si>
    <t>Tina Jones</t>
  </si>
  <si>
    <t>Elaine Williams</t>
  </si>
  <si>
    <t>Jane Hughes</t>
  </si>
  <si>
    <t>Mags Balch</t>
  </si>
  <si>
    <t>Deirdre Coombs</t>
  </si>
  <si>
    <t>Tina Eke</t>
  </si>
  <si>
    <t>Alison Jelly</t>
  </si>
  <si>
    <t>Folkestone RC  B</t>
  </si>
  <si>
    <t>Trudi Curd</t>
  </si>
  <si>
    <t>East Kent Summer Inter Club Relays - Race 4: Dymchurch 27/06/2017 Junior League</t>
  </si>
  <si>
    <t>A</t>
  </si>
  <si>
    <t>League</t>
  </si>
  <si>
    <t>Freddie Giles</t>
  </si>
  <si>
    <t>Thomas Green</t>
  </si>
  <si>
    <t>Connor Samson</t>
  </si>
  <si>
    <t>Isobel Young</t>
  </si>
  <si>
    <t>Olivia Young</t>
  </si>
  <si>
    <t>Shannon Quinn</t>
  </si>
  <si>
    <t>Hollie Giles</t>
  </si>
  <si>
    <t>Henry Sellen</t>
  </si>
  <si>
    <t>Chloe Green</t>
  </si>
  <si>
    <t>A LEAGUES</t>
  </si>
  <si>
    <t>B LEAGUES</t>
  </si>
  <si>
    <t>Senior Men</t>
  </si>
  <si>
    <t>Fk</t>
  </si>
  <si>
    <t>Mb</t>
  </si>
  <si>
    <t>Ash</t>
  </si>
  <si>
    <t>Dy</t>
  </si>
  <si>
    <t>Ca</t>
  </si>
  <si>
    <t>Tot</t>
  </si>
  <si>
    <t>Senior Ladies</t>
  </si>
  <si>
    <t>Ashford Tri</t>
  </si>
  <si>
    <t>Thanet RR B</t>
  </si>
  <si>
    <t xml:space="preserve">Deal Tri A </t>
  </si>
  <si>
    <t>Ashford Tri Club</t>
  </si>
  <si>
    <t>V40 Men</t>
  </si>
  <si>
    <t>V35 Ladies</t>
  </si>
  <si>
    <t xml:space="preserve">South Kent H </t>
  </si>
  <si>
    <t>AShford &amp; Dist. A</t>
  </si>
  <si>
    <t>V45 Ladies</t>
  </si>
  <si>
    <t>V50 Men</t>
  </si>
  <si>
    <t>Deal Tri B</t>
  </si>
  <si>
    <t>V55 Ladies</t>
  </si>
  <si>
    <t>V60 Men</t>
  </si>
  <si>
    <t>Juniors</t>
  </si>
  <si>
    <t>Deal Tri Club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</si>
</sst>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"/>
    <numFmt numFmtId="166" formatCode="HH:MM:SS"/>
    <numFmt numFmtId="167" formatCode="H:MM:SS\ AM/PM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vertical="center"/>
    </xf>
    <xf numFmtId="164" fontId="4" fillId="0" borderId="1" xfId="0" applyFont="1" applyBorder="1" applyAlignment="1">
      <alignment horizontal="left" vertical="center"/>
    </xf>
    <xf numFmtId="164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vertical="center"/>
    </xf>
    <xf numFmtId="166" fontId="2" fillId="3" borderId="1" xfId="0" applyNumberFormat="1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vertical="center"/>
    </xf>
    <xf numFmtId="164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vertical="center"/>
    </xf>
    <xf numFmtId="164" fontId="4" fillId="4" borderId="1" xfId="0" applyFont="1" applyFill="1" applyBorder="1" applyAlignment="1">
      <alignment horizontal="left" vertical="center"/>
    </xf>
    <xf numFmtId="164" fontId="4" fillId="0" borderId="1" xfId="0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/>
    </xf>
    <xf numFmtId="164" fontId="6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vertical="center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left" vertical="center"/>
    </xf>
    <xf numFmtId="164" fontId="4" fillId="2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left"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/>
    </xf>
    <xf numFmtId="164" fontId="2" fillId="3" borderId="0" xfId="0" applyFont="1" applyFill="1" applyAlignment="1">
      <alignment vertical="center"/>
    </xf>
    <xf numFmtId="164" fontId="2" fillId="5" borderId="0" xfId="0" applyFont="1" applyFill="1" applyAlignment="1">
      <alignment vertical="center"/>
    </xf>
    <xf numFmtId="164" fontId="6" fillId="0" borderId="0" xfId="0" applyFont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2" borderId="5" xfId="0" applyFont="1" applyFill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4" fillId="0" borderId="8" xfId="0" applyFont="1" applyFill="1" applyBorder="1" applyAlignment="1">
      <alignment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4" fillId="0" borderId="11" xfId="0" applyFont="1" applyFill="1" applyBorder="1" applyAlignment="1">
      <alignment vertical="center"/>
    </xf>
    <xf numFmtId="164" fontId="2" fillId="0" borderId="12" xfId="0" applyFont="1" applyBorder="1" applyAlignment="1">
      <alignment horizontal="center" vertical="center"/>
    </xf>
    <xf numFmtId="164" fontId="2" fillId="0" borderId="9" xfId="0" applyFont="1" applyFill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2" fillId="0" borderId="15" xfId="0" applyFont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4" fillId="0" borderId="17" xfId="0" applyFont="1" applyFill="1" applyBorder="1" applyAlignment="1">
      <alignment vertical="center"/>
    </xf>
    <xf numFmtId="164" fontId="2" fillId="0" borderId="18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4" fontId="2" fillId="0" borderId="20" xfId="0" applyFont="1" applyBorder="1" applyAlignment="1">
      <alignment horizontal="center" vertical="center"/>
    </xf>
    <xf numFmtId="164" fontId="2" fillId="0" borderId="19" xfId="0" applyFont="1" applyFill="1" applyBorder="1" applyAlignment="1">
      <alignment horizontal="center" vertical="center"/>
    </xf>
    <xf numFmtId="164" fontId="2" fillId="0" borderId="21" xfId="0" applyFont="1" applyBorder="1" applyAlignment="1">
      <alignment horizontal="center" vertical="center"/>
    </xf>
    <xf numFmtId="164" fontId="2" fillId="0" borderId="22" xfId="0" applyFont="1" applyBorder="1" applyAlignment="1">
      <alignment horizontal="center" vertical="center"/>
    </xf>
    <xf numFmtId="164" fontId="2" fillId="3" borderId="6" xfId="0" applyFont="1" applyFill="1" applyBorder="1" applyAlignment="1">
      <alignment horizontal="center" vertical="center"/>
    </xf>
    <xf numFmtId="164" fontId="2" fillId="3" borderId="7" xfId="0" applyFont="1" applyFill="1" applyBorder="1" applyAlignment="1">
      <alignment horizontal="center" vertical="center"/>
    </xf>
    <xf numFmtId="164" fontId="2" fillId="0" borderId="23" xfId="0" applyFont="1" applyBorder="1" applyAlignment="1">
      <alignment horizontal="center" vertical="center"/>
    </xf>
    <xf numFmtId="164" fontId="2" fillId="0" borderId="8" xfId="0" applyFont="1" applyBorder="1" applyAlignment="1">
      <alignment vertical="center"/>
    </xf>
    <xf numFmtId="164" fontId="4" fillId="0" borderId="8" xfId="0" applyFont="1" applyBorder="1" applyAlignment="1">
      <alignment vertical="center"/>
    </xf>
    <xf numFmtId="164" fontId="2" fillId="0" borderId="17" xfId="0" applyFont="1" applyBorder="1" applyAlignment="1">
      <alignment vertical="center"/>
    </xf>
    <xf numFmtId="164" fontId="4" fillId="0" borderId="17" xfId="0" applyFont="1" applyBorder="1" applyAlignment="1">
      <alignment vertical="center"/>
    </xf>
    <xf numFmtId="164" fontId="2" fillId="2" borderId="24" xfId="0" applyFont="1" applyFill="1" applyBorder="1" applyAlignment="1">
      <alignment horizontal="center" vertical="center"/>
    </xf>
    <xf numFmtId="164" fontId="2" fillId="0" borderId="25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26" xfId="0" applyFont="1" applyBorder="1" applyAlignment="1">
      <alignment horizontal="center" vertical="center"/>
    </xf>
    <xf numFmtId="164" fontId="4" fillId="0" borderId="27" xfId="0" applyFont="1" applyFill="1" applyBorder="1" applyAlignment="1">
      <alignment vertical="center"/>
    </xf>
    <xf numFmtId="164" fontId="2" fillId="0" borderId="23" xfId="0" applyFont="1" applyFill="1" applyBorder="1" applyAlignment="1">
      <alignment horizontal="center" vertical="center"/>
    </xf>
    <xf numFmtId="164" fontId="4" fillId="0" borderId="11" xfId="0" applyFont="1" applyFill="1" applyBorder="1" applyAlignment="1">
      <alignment horizontal="left" vertical="center"/>
    </xf>
    <xf numFmtId="164" fontId="4" fillId="0" borderId="8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center" vertical="center"/>
    </xf>
    <xf numFmtId="164" fontId="2" fillId="0" borderId="8" xfId="0" applyFont="1" applyFill="1" applyBorder="1" applyAlignment="1">
      <alignment vertical="center"/>
    </xf>
    <xf numFmtId="164" fontId="2" fillId="0" borderId="17" xfId="0" applyFont="1" applyFill="1" applyBorder="1" applyAlignment="1">
      <alignment vertical="center"/>
    </xf>
    <xf numFmtId="164" fontId="2" fillId="0" borderId="28" xfId="0" applyFont="1" applyFill="1" applyBorder="1" applyAlignment="1">
      <alignment vertical="center"/>
    </xf>
    <xf numFmtId="164" fontId="2" fillId="0" borderId="22" xfId="0" applyFont="1" applyFill="1" applyBorder="1" applyAlignment="1">
      <alignment vertical="center"/>
    </xf>
    <xf numFmtId="164" fontId="2" fillId="0" borderId="29" xfId="0" applyFont="1" applyFill="1" applyBorder="1" applyAlignment="1">
      <alignment vertical="center"/>
    </xf>
    <xf numFmtId="164" fontId="2" fillId="0" borderId="30" xfId="0" applyFont="1" applyBorder="1" applyAlignment="1">
      <alignment horizontal="center" vertical="center"/>
    </xf>
    <xf numFmtId="164" fontId="2" fillId="0" borderId="31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4" fillId="0" borderId="32" xfId="0" applyFont="1" applyFill="1" applyBorder="1" applyAlignment="1">
      <alignment vertical="center"/>
    </xf>
    <xf numFmtId="164" fontId="2" fillId="0" borderId="33" xfId="0" applyFont="1" applyFill="1" applyBorder="1" applyAlignment="1">
      <alignment horizontal="center" vertical="center"/>
    </xf>
    <xf numFmtId="164" fontId="2" fillId="0" borderId="19" xfId="0" applyFont="1" applyBorder="1" applyAlignment="1">
      <alignment vertical="center"/>
    </xf>
    <xf numFmtId="164" fontId="2" fillId="0" borderId="8" xfId="0" applyFont="1" applyFill="1" applyBorder="1" applyAlignment="1">
      <alignment horizontal="left" vertical="center"/>
    </xf>
    <xf numFmtId="164" fontId="2" fillId="0" borderId="11" xfId="0" applyFont="1" applyBorder="1" applyAlignment="1">
      <alignment horizontal="left"/>
    </xf>
    <xf numFmtId="164" fontId="2" fillId="0" borderId="9" xfId="0" applyFont="1" applyBorder="1" applyAlignment="1">
      <alignment vertical="center"/>
    </xf>
    <xf numFmtId="164" fontId="2" fillId="0" borderId="8" xfId="0" applyFont="1" applyBorder="1" applyAlignment="1">
      <alignment horizontal="left"/>
    </xf>
    <xf numFmtId="164" fontId="2" fillId="0" borderId="1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F9F9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31">
      <selection activeCell="E49" sqref="E49"/>
    </sheetView>
  </sheetViews>
  <sheetFormatPr defaultColWidth="12.57421875" defaultRowHeight="15"/>
  <cols>
    <col min="1" max="1" width="15.28125" style="1" customWidth="1"/>
    <col min="2" max="2" width="19.00390625" style="2" customWidth="1"/>
    <col min="3" max="3" width="20.140625" style="2" customWidth="1"/>
    <col min="4" max="4" width="5.421875" style="3" customWidth="1"/>
    <col min="5" max="5" width="16.421875" style="2" customWidth="1"/>
    <col min="6" max="6" width="5.421875" style="3" customWidth="1"/>
    <col min="7" max="7" width="14.8515625" style="2" customWidth="1"/>
    <col min="8" max="8" width="5.421875" style="3" customWidth="1"/>
    <col min="9" max="9" width="16.28125" style="2" customWidth="1"/>
    <col min="10" max="10" width="5.421875" style="3" customWidth="1"/>
    <col min="11" max="11" width="7.8515625" style="4" customWidth="1"/>
    <col min="12" max="12" width="3.421875" style="1" customWidth="1"/>
    <col min="13" max="16384" width="12.7109375" style="2" customWidth="1"/>
  </cols>
  <sheetData>
    <row r="1" spans="1:11" s="6" customFormat="1" ht="15">
      <c r="A1" s="5" t="s">
        <v>0</v>
      </c>
      <c r="D1" s="7"/>
      <c r="F1" s="7"/>
      <c r="H1" s="7"/>
      <c r="I1" s="8"/>
      <c r="J1" s="7"/>
      <c r="K1" s="9"/>
    </row>
    <row r="2" spans="1:11" s="6" customFormat="1" ht="12.75">
      <c r="A2" s="10"/>
      <c r="D2" s="7"/>
      <c r="F2" s="7"/>
      <c r="H2" s="7"/>
      <c r="I2" s="8"/>
      <c r="J2" s="7"/>
      <c r="K2" s="9"/>
    </row>
    <row r="3" spans="1:12" s="6" customFormat="1" ht="12.75">
      <c r="A3" s="8" t="s">
        <v>1</v>
      </c>
      <c r="B3" s="11" t="s">
        <v>2</v>
      </c>
      <c r="C3" s="11" t="s">
        <v>3</v>
      </c>
      <c r="D3" s="12" t="s">
        <v>4</v>
      </c>
      <c r="E3" s="11" t="s">
        <v>5</v>
      </c>
      <c r="F3" s="12" t="s">
        <v>4</v>
      </c>
      <c r="G3" s="11" t="s">
        <v>6</v>
      </c>
      <c r="H3" s="12" t="s">
        <v>4</v>
      </c>
      <c r="I3" s="11" t="s">
        <v>7</v>
      </c>
      <c r="J3" s="12" t="s">
        <v>4</v>
      </c>
      <c r="K3" s="13" t="s">
        <v>8</v>
      </c>
      <c r="L3" s="11" t="s">
        <v>9</v>
      </c>
    </row>
    <row r="4" spans="1:12" s="6" customFormat="1" ht="12.75">
      <c r="A4" s="8"/>
      <c r="B4" s="11"/>
      <c r="C4" s="11"/>
      <c r="D4" s="12"/>
      <c r="E4" s="11"/>
      <c r="F4" s="12"/>
      <c r="G4" s="11"/>
      <c r="H4" s="12"/>
      <c r="I4" s="11"/>
      <c r="J4" s="12"/>
      <c r="K4" s="13"/>
      <c r="L4" s="11"/>
    </row>
    <row r="5" spans="1:12" ht="12.75">
      <c r="A5" s="14" t="s">
        <v>10</v>
      </c>
      <c r="B5" s="14" t="s">
        <v>11</v>
      </c>
      <c r="D5" s="15"/>
      <c r="E5" s="16"/>
      <c r="F5" s="15"/>
      <c r="G5" s="16"/>
      <c r="H5" s="15"/>
      <c r="I5" s="16"/>
      <c r="J5" s="15"/>
      <c r="K5" s="17"/>
      <c r="L5" s="18"/>
    </row>
    <row r="6" spans="1:12" s="21" customFormat="1" ht="12.75">
      <c r="A6" s="19">
        <v>1</v>
      </c>
      <c r="B6" s="20" t="s">
        <v>12</v>
      </c>
      <c r="C6" s="21" t="s">
        <v>13</v>
      </c>
      <c r="D6" s="22">
        <f>TIME(0,12,10)</f>
        <v>0.008449074074074074</v>
      </c>
      <c r="E6" s="21" t="s">
        <v>14</v>
      </c>
      <c r="F6" s="22">
        <f>TIME(0,24,14)-D6</f>
        <v>0.00837962962962963</v>
      </c>
      <c r="G6" s="21" t="s">
        <v>15</v>
      </c>
      <c r="H6" s="22">
        <f>TIME(0,36,14)-D6-F6</f>
        <v>0.008333333333333335</v>
      </c>
      <c r="I6" s="21" t="s">
        <v>16</v>
      </c>
      <c r="J6" s="22">
        <f>TIME(0,48,47)-D6-F6-H6</f>
        <v>0.008715277777777773</v>
      </c>
      <c r="K6" s="23">
        <f aca="true" t="shared" si="0" ref="K6:K14">+J6+H6+F6+D6</f>
        <v>0.03387731481481481</v>
      </c>
      <c r="L6" s="19">
        <v>7</v>
      </c>
    </row>
    <row r="7" spans="1:12" s="21" customFormat="1" ht="12.75">
      <c r="A7" s="19">
        <v>2</v>
      </c>
      <c r="B7" s="20" t="s">
        <v>17</v>
      </c>
      <c r="C7" s="21" t="s">
        <v>18</v>
      </c>
      <c r="D7" s="22">
        <v>0.008599537037037036</v>
      </c>
      <c r="E7" s="21" t="s">
        <v>19</v>
      </c>
      <c r="F7" s="22">
        <f>TIME(0,23,56)-D7</f>
        <v>0.008020833333333333</v>
      </c>
      <c r="G7" s="21" t="s">
        <v>20</v>
      </c>
      <c r="H7" s="22">
        <f>TIME(0,36,36)-D7-F7</f>
        <v>0.0087962962962963</v>
      </c>
      <c r="I7" s="21" t="s">
        <v>21</v>
      </c>
      <c r="J7" s="22">
        <f>TIME(0,48,49)-D7-F7-H7</f>
        <v>0.008483796296296297</v>
      </c>
      <c r="K7" s="23">
        <f t="shared" si="0"/>
        <v>0.033900462962962966</v>
      </c>
      <c r="L7" s="19">
        <v>6</v>
      </c>
    </row>
    <row r="8" spans="1:12" s="21" customFormat="1" ht="12.75">
      <c r="A8" s="19">
        <v>3</v>
      </c>
      <c r="B8" s="20" t="s">
        <v>22</v>
      </c>
      <c r="C8" s="21" t="s">
        <v>23</v>
      </c>
      <c r="D8" s="22">
        <f>TIME(0,12,25)</f>
        <v>0.008622685185185185</v>
      </c>
      <c r="E8" s="21" t="s">
        <v>24</v>
      </c>
      <c r="F8" s="22">
        <f>TIME(0,25,16)-D8</f>
        <v>0.008923611111111111</v>
      </c>
      <c r="G8" s="21" t="s">
        <v>25</v>
      </c>
      <c r="H8" s="22">
        <f>TIME(0,37,55)-D8-F8</f>
        <v>0.008784722222222222</v>
      </c>
      <c r="I8" s="21" t="s">
        <v>26</v>
      </c>
      <c r="J8" s="22">
        <f>TIME(0,49,59)-D8-F8-H8</f>
        <v>0.008379629629629633</v>
      </c>
      <c r="K8" s="23">
        <f t="shared" si="0"/>
        <v>0.03471064814814815</v>
      </c>
      <c r="L8" s="19">
        <v>5</v>
      </c>
    </row>
    <row r="9" spans="1:12" s="21" customFormat="1" ht="12.75">
      <c r="A9" s="19">
        <v>4</v>
      </c>
      <c r="B9" s="20" t="s">
        <v>27</v>
      </c>
      <c r="C9" s="21" t="s">
        <v>28</v>
      </c>
      <c r="D9" s="22">
        <f>TIME(0,11,50)</f>
        <v>0.008217592592592592</v>
      </c>
      <c r="E9" s="21" t="s">
        <v>29</v>
      </c>
      <c r="F9" s="22">
        <f>TIME(0,25,24)-D9</f>
        <v>0.009421296296296296</v>
      </c>
      <c r="G9" s="21" t="s">
        <v>30</v>
      </c>
      <c r="H9" s="22">
        <f>TIME(0,40,26)-D9-F9</f>
        <v>0.010439814814814815</v>
      </c>
      <c r="I9" s="21" t="s">
        <v>28</v>
      </c>
      <c r="J9" s="22">
        <f>TIME(0,52,53)-D9-F9-H9</f>
        <v>0.008645833333333332</v>
      </c>
      <c r="K9" s="23">
        <f t="shared" si="0"/>
        <v>0.036724537037037035</v>
      </c>
      <c r="L9" s="19"/>
    </row>
    <row r="10" spans="1:12" s="21" customFormat="1" ht="12.75">
      <c r="A10" s="19">
        <v>5</v>
      </c>
      <c r="B10" s="20" t="s">
        <v>31</v>
      </c>
      <c r="C10" s="21" t="s">
        <v>32</v>
      </c>
      <c r="D10" s="22">
        <f>TIME(0,13,2)</f>
        <v>0.009050925925925926</v>
      </c>
      <c r="E10" s="21" t="s">
        <v>33</v>
      </c>
      <c r="F10" s="22">
        <f>TIME(0,26,11)-D10</f>
        <v>0.009131944444444444</v>
      </c>
      <c r="G10" s="21" t="s">
        <v>34</v>
      </c>
      <c r="H10" s="22">
        <f>TIME(0,40,10)-D10-F10</f>
        <v>0.009710648148148147</v>
      </c>
      <c r="I10" s="21" t="s">
        <v>35</v>
      </c>
      <c r="J10" s="22">
        <f>TIME(0,53,30)-D10-F10-H10</f>
        <v>0.00925925925925926</v>
      </c>
      <c r="K10" s="23">
        <f t="shared" si="0"/>
        <v>0.03715277777777778</v>
      </c>
      <c r="L10" s="19">
        <v>4</v>
      </c>
    </row>
    <row r="11" spans="1:12" s="21" customFormat="1" ht="12.75">
      <c r="A11" s="19">
        <v>6</v>
      </c>
      <c r="B11" s="20" t="s">
        <v>36</v>
      </c>
      <c r="C11" s="21" t="s">
        <v>37</v>
      </c>
      <c r="D11" s="22">
        <f>TIME(0,13,34)</f>
        <v>0.009421296296296296</v>
      </c>
      <c r="E11" s="21" t="s">
        <v>38</v>
      </c>
      <c r="F11" s="22">
        <f>TIME(0,28,30)-D11</f>
        <v>0.01037037037037037</v>
      </c>
      <c r="G11" s="21" t="s">
        <v>39</v>
      </c>
      <c r="H11" s="22">
        <f>TIME(0,43,29)-D11-F11</f>
        <v>0.010405092592592594</v>
      </c>
      <c r="I11" s="21" t="s">
        <v>40</v>
      </c>
      <c r="J11" s="22">
        <f>TIME(0,57,9)-D11-F11-H11</f>
        <v>0.00949074074074074</v>
      </c>
      <c r="K11" s="23">
        <f t="shared" si="0"/>
        <v>0.0396875</v>
      </c>
      <c r="L11" s="19">
        <v>3</v>
      </c>
    </row>
    <row r="12" spans="1:12" s="21" customFormat="1" ht="12.75">
      <c r="A12" s="19">
        <v>7</v>
      </c>
      <c r="B12" s="20" t="s">
        <v>41</v>
      </c>
      <c r="C12" s="21" t="s">
        <v>42</v>
      </c>
      <c r="D12" s="22">
        <v>0.010069444444444445</v>
      </c>
      <c r="E12" s="21" t="s">
        <v>43</v>
      </c>
      <c r="F12" s="22">
        <f>TIME(0,30,7)-D12</f>
        <v>0.010844907407407406</v>
      </c>
      <c r="G12" s="21" t="s">
        <v>44</v>
      </c>
      <c r="H12" s="22">
        <f>TIME(0,45,17)-D12-F12</f>
        <v>0.010532407407407409</v>
      </c>
      <c r="I12" s="21" t="s">
        <v>45</v>
      </c>
      <c r="J12" s="22">
        <f>TIME(0,57,42)-D12-F12-H12</f>
        <v>0.008622685185185183</v>
      </c>
      <c r="K12" s="23">
        <f t="shared" si="0"/>
        <v>0.04006944444444444</v>
      </c>
      <c r="L12" s="19"/>
    </row>
    <row r="13" spans="1:12" ht="12.75">
      <c r="A13" s="19">
        <v>8</v>
      </c>
      <c r="B13" s="20" t="s">
        <v>46</v>
      </c>
      <c r="C13" s="21" t="s">
        <v>47</v>
      </c>
      <c r="D13" s="22">
        <f>TIME(0,14,7)</f>
        <v>0.00980324074074074</v>
      </c>
      <c r="E13" s="21" t="s">
        <v>48</v>
      </c>
      <c r="F13" s="22">
        <f>TIME(0,27,57)-D13</f>
        <v>0.00960648148148148</v>
      </c>
      <c r="G13" s="21" t="s">
        <v>49</v>
      </c>
      <c r="H13" s="22">
        <f>TIME(0,45,2)-D13-F13</f>
        <v>0.011863425925925927</v>
      </c>
      <c r="I13" s="21" t="s">
        <v>50</v>
      </c>
      <c r="J13" s="22">
        <f>TIME(1,2,32)-D13-F13-H13</f>
        <v>0.01215277777777778</v>
      </c>
      <c r="K13" s="23">
        <f t="shared" si="0"/>
        <v>0.04342592592592592</v>
      </c>
      <c r="L13" s="19">
        <v>2</v>
      </c>
    </row>
    <row r="14" spans="1:12" s="21" customFormat="1" ht="12.75">
      <c r="A14" s="19">
        <v>9</v>
      </c>
      <c r="B14" s="20" t="s">
        <v>51</v>
      </c>
      <c r="C14" s="21" t="s">
        <v>52</v>
      </c>
      <c r="D14" s="22">
        <f>TIME(0,16,16)</f>
        <v>0.011296296296296296</v>
      </c>
      <c r="E14" s="21" t="s">
        <v>53</v>
      </c>
      <c r="F14" s="22">
        <f>TIME(0,30,14)-D14</f>
        <v>0.009699074074074074</v>
      </c>
      <c r="G14" s="21" t="s">
        <v>54</v>
      </c>
      <c r="H14" s="22">
        <f>TIME(0,44,29)-D14-F14</f>
        <v>0.009895833333333335</v>
      </c>
      <c r="I14" s="21" t="s">
        <v>55</v>
      </c>
      <c r="J14" s="22">
        <f>TIME(1,3,10)-D14-F14-H14</f>
        <v>0.012974537037037033</v>
      </c>
      <c r="K14" s="23">
        <f t="shared" si="0"/>
        <v>0.04386574074074074</v>
      </c>
      <c r="L14" s="19">
        <v>1</v>
      </c>
    </row>
    <row r="15" spans="1:12" s="21" customFormat="1" ht="12.75">
      <c r="A15" s="19">
        <v>10</v>
      </c>
      <c r="B15" s="20" t="s">
        <v>56</v>
      </c>
      <c r="C15" s="21" t="s">
        <v>57</v>
      </c>
      <c r="D15" s="22">
        <f>TIME(0,13,56)</f>
        <v>0.009675925925925926</v>
      </c>
      <c r="E15" s="21" t="s">
        <v>58</v>
      </c>
      <c r="F15" s="22">
        <f>TIME(0,27,59)-D15</f>
        <v>0.009756944444444445</v>
      </c>
      <c r="H15" s="22"/>
      <c r="J15" s="22"/>
      <c r="K15" s="23"/>
      <c r="L15" s="19"/>
    </row>
    <row r="16" spans="1:12" s="21" customFormat="1" ht="12.75">
      <c r="A16" s="19"/>
      <c r="B16" s="20"/>
      <c r="D16" s="22"/>
      <c r="F16" s="22"/>
      <c r="H16" s="22"/>
      <c r="J16" s="22"/>
      <c r="K16" s="23"/>
      <c r="L16" s="19"/>
    </row>
    <row r="17" spans="1:12" ht="12.75">
      <c r="A17" s="24"/>
      <c r="B17" s="14" t="s">
        <v>59</v>
      </c>
      <c r="C17" s="16"/>
      <c r="D17" s="15"/>
      <c r="E17" s="16"/>
      <c r="F17" s="15"/>
      <c r="G17" s="16"/>
      <c r="H17" s="15"/>
      <c r="I17" s="16"/>
      <c r="J17" s="15"/>
      <c r="K17" s="17"/>
      <c r="L17" s="18"/>
    </row>
    <row r="18" spans="1:12" s="21" customFormat="1" ht="12.75">
      <c r="A18" s="19">
        <v>1</v>
      </c>
      <c r="B18" s="20" t="s">
        <v>60</v>
      </c>
      <c r="C18" s="21" t="s">
        <v>61</v>
      </c>
      <c r="D18" s="22">
        <f>TIME(0,12,41)</f>
        <v>0.00880787037037037</v>
      </c>
      <c r="E18" s="21" t="s">
        <v>62</v>
      </c>
      <c r="F18" s="22">
        <f>TIME(0,25,29)-D18</f>
        <v>0.008888888888888889</v>
      </c>
      <c r="G18" s="21" t="s">
        <v>63</v>
      </c>
      <c r="H18" s="22">
        <f>TIME(0,39,58)-D18-F18</f>
        <v>0.010057870370370372</v>
      </c>
      <c r="I18" s="21" t="s">
        <v>64</v>
      </c>
      <c r="J18" s="22">
        <f>TIME(0,54,33)-D18-F18-H18</f>
        <v>0.010127314814814816</v>
      </c>
      <c r="K18" s="23">
        <f aca="true" t="shared" si="1" ref="K18:K23">+J18+H18+F18+D18</f>
        <v>0.03788194444444445</v>
      </c>
      <c r="L18" s="19">
        <v>6</v>
      </c>
    </row>
    <row r="19" spans="1:12" s="21" customFormat="1" ht="12.75">
      <c r="A19" s="19">
        <v>2</v>
      </c>
      <c r="B19" s="20" t="s">
        <v>65</v>
      </c>
      <c r="C19" s="21" t="s">
        <v>66</v>
      </c>
      <c r="D19" s="22">
        <f>TIME(0,13,12)</f>
        <v>0.009166666666666667</v>
      </c>
      <c r="E19" s="21" t="s">
        <v>67</v>
      </c>
      <c r="F19" s="22">
        <f>TIME(0,26,39)-D19</f>
        <v>0.009340277777777777</v>
      </c>
      <c r="G19" s="21" t="s">
        <v>68</v>
      </c>
      <c r="H19" s="22">
        <f>TIME(0,40,2)-D19-F19</f>
        <v>0.009293981481481483</v>
      </c>
      <c r="I19" s="21" t="s">
        <v>69</v>
      </c>
      <c r="J19" s="22">
        <f>TIME(0,54,34)-D19-F19-H19</f>
        <v>0.010092592592592594</v>
      </c>
      <c r="K19" s="23">
        <f t="shared" si="1"/>
        <v>0.03789351851851852</v>
      </c>
      <c r="L19" s="19">
        <v>5</v>
      </c>
    </row>
    <row r="20" spans="1:12" ht="12.75">
      <c r="A20" s="19">
        <v>3</v>
      </c>
      <c r="B20" s="20" t="s">
        <v>70</v>
      </c>
      <c r="C20" s="21" t="s">
        <v>71</v>
      </c>
      <c r="D20" s="22">
        <f>TIME(0,13,0)</f>
        <v>0.009027777777777777</v>
      </c>
      <c r="E20" s="21" t="s">
        <v>72</v>
      </c>
      <c r="F20" s="22">
        <f>TIME(0,27,18)-D20</f>
        <v>0.009930555555555557</v>
      </c>
      <c r="G20" s="21" t="s">
        <v>73</v>
      </c>
      <c r="H20" s="22">
        <f>TIME(0,41,28)-D20-F20</f>
        <v>0.009837962962962962</v>
      </c>
      <c r="I20" s="21" t="s">
        <v>74</v>
      </c>
      <c r="J20" s="22">
        <f>TIME(0,56,18)-D20-F20-H20</f>
        <v>0.010300925925925925</v>
      </c>
      <c r="K20" s="23">
        <f t="shared" si="1"/>
        <v>0.03909722222222222</v>
      </c>
      <c r="L20" s="19">
        <v>4</v>
      </c>
    </row>
    <row r="21" spans="1:12" s="21" customFormat="1" ht="12.75">
      <c r="A21" s="19">
        <v>4</v>
      </c>
      <c r="B21" s="20" t="s">
        <v>75</v>
      </c>
      <c r="C21" s="21" t="s">
        <v>76</v>
      </c>
      <c r="D21" s="22">
        <v>0.010034722222222221</v>
      </c>
      <c r="E21" s="21" t="s">
        <v>77</v>
      </c>
      <c r="F21" s="22">
        <f>TIME(0,30,9)-D21</f>
        <v>0.01090277777777778</v>
      </c>
      <c r="G21" s="21" t="s">
        <v>78</v>
      </c>
      <c r="H21" s="22">
        <f>TIME(0,44,3)-D21-F21</f>
        <v>0.009652777777777776</v>
      </c>
      <c r="I21" s="21" t="s">
        <v>79</v>
      </c>
      <c r="J21" s="22">
        <f>TIME(0,58,0)-D21-F21-H21</f>
        <v>0.0096875</v>
      </c>
      <c r="K21" s="23">
        <f t="shared" si="1"/>
        <v>0.04027777777777778</v>
      </c>
      <c r="L21" s="19">
        <v>3</v>
      </c>
    </row>
    <row r="22" spans="1:12" ht="12.75">
      <c r="A22" s="19">
        <v>5</v>
      </c>
      <c r="B22" s="20" t="s">
        <v>80</v>
      </c>
      <c r="C22" s="21" t="s">
        <v>81</v>
      </c>
      <c r="D22" s="22">
        <f>TIME(0,13,52)</f>
        <v>0.00962962962962963</v>
      </c>
      <c r="E22" s="21" t="s">
        <v>82</v>
      </c>
      <c r="F22" s="22">
        <f>TIME(0,28,36)-D22</f>
        <v>0.01023148148148148</v>
      </c>
      <c r="G22" s="21" t="s">
        <v>83</v>
      </c>
      <c r="H22" s="22">
        <f>TIME(0,45,15)-D22-F22</f>
        <v>0.0115625</v>
      </c>
      <c r="I22" s="21" t="s">
        <v>84</v>
      </c>
      <c r="J22" s="22">
        <f>TIME(1,0,52)-D22-F22-H22</f>
        <v>0.010844907407407404</v>
      </c>
      <c r="K22" s="23">
        <f t="shared" si="1"/>
        <v>0.04226851851851851</v>
      </c>
      <c r="L22" s="1">
        <v>2</v>
      </c>
    </row>
    <row r="23" spans="1:12" ht="12.75">
      <c r="A23" s="19">
        <v>6</v>
      </c>
      <c r="B23" s="20" t="s">
        <v>85</v>
      </c>
      <c r="C23" s="21" t="s">
        <v>86</v>
      </c>
      <c r="D23" s="22">
        <v>0.010787037037037038</v>
      </c>
      <c r="E23" s="21" t="s">
        <v>87</v>
      </c>
      <c r="F23" s="22">
        <f>TIME(0,32,49)-D23</f>
        <v>0.012002314814814815</v>
      </c>
      <c r="G23" s="21" t="s">
        <v>86</v>
      </c>
      <c r="H23" s="22">
        <f>TIME(0,49,47)-D23-F23</f>
        <v>0.011782407407407406</v>
      </c>
      <c r="I23" s="21" t="s">
        <v>87</v>
      </c>
      <c r="J23" s="22">
        <f>TIME(1,7,35)-D23-F23-H23</f>
        <v>0.01236111111111111</v>
      </c>
      <c r="K23" s="23">
        <f t="shared" si="1"/>
        <v>0.04693287037037037</v>
      </c>
      <c r="L23" s="19">
        <v>1</v>
      </c>
    </row>
    <row r="24" spans="1:12" s="21" customFormat="1" ht="12.75">
      <c r="A24" s="19"/>
      <c r="B24" s="20" t="s">
        <v>88</v>
      </c>
      <c r="C24" s="21" t="s">
        <v>89</v>
      </c>
      <c r="D24" s="22">
        <f>TIME(0,17,2)</f>
        <v>0.011828703703703704</v>
      </c>
      <c r="E24" s="21" t="s">
        <v>90</v>
      </c>
      <c r="F24" s="22">
        <f>TIME(0,32,4)-D24</f>
        <v>0.010439814814814813</v>
      </c>
      <c r="H24" s="22"/>
      <c r="J24" s="22"/>
      <c r="K24" s="23"/>
      <c r="L24" s="19"/>
    </row>
    <row r="25" spans="1:12" s="21" customFormat="1" ht="12.75">
      <c r="A25" s="19"/>
      <c r="B25" s="20"/>
      <c r="D25" s="22"/>
      <c r="F25" s="22"/>
      <c r="H25" s="22"/>
      <c r="J25" s="22"/>
      <c r="K25" s="23"/>
      <c r="L25" s="19"/>
    </row>
    <row r="26" spans="1:12" ht="12.75">
      <c r="A26" s="14" t="s">
        <v>91</v>
      </c>
      <c r="B26" s="14" t="s">
        <v>11</v>
      </c>
      <c r="C26" s="16"/>
      <c r="D26" s="15"/>
      <c r="E26" s="16"/>
      <c r="F26" s="15"/>
      <c r="G26" s="16"/>
      <c r="H26" s="15"/>
      <c r="I26" s="16"/>
      <c r="J26" s="15"/>
      <c r="K26" s="17"/>
      <c r="L26" s="18"/>
    </row>
    <row r="27" spans="1:12" ht="12.75">
      <c r="A27" s="19">
        <v>1</v>
      </c>
      <c r="B27" s="20" t="s">
        <v>17</v>
      </c>
      <c r="C27" s="21" t="s">
        <v>92</v>
      </c>
      <c r="D27" s="22">
        <v>0.009479166666666667</v>
      </c>
      <c r="E27" s="21" t="s">
        <v>93</v>
      </c>
      <c r="F27" s="22">
        <f>TIME(0,27,37)-D27</f>
        <v>0.009699074074074075</v>
      </c>
      <c r="G27" s="21" t="s">
        <v>94</v>
      </c>
      <c r="H27" s="22">
        <f>TIME(0,41,26)-D27-F27</f>
        <v>0.009594907407407406</v>
      </c>
      <c r="I27" s="21" t="s">
        <v>95</v>
      </c>
      <c r="J27" s="22">
        <f>TIME(0,55,22)-D27-F27-H27</f>
        <v>0.009675925925925925</v>
      </c>
      <c r="K27" s="23">
        <f aca="true" t="shared" si="2" ref="K27:K31">+J27+H27+F27+D27</f>
        <v>0.03844907407407407</v>
      </c>
      <c r="L27" s="19">
        <v>5</v>
      </c>
    </row>
    <row r="28" spans="1:12" ht="12.75">
      <c r="A28" s="19">
        <v>2</v>
      </c>
      <c r="B28" s="20" t="s">
        <v>22</v>
      </c>
      <c r="C28" s="21" t="s">
        <v>96</v>
      </c>
      <c r="D28" s="22">
        <f>TIME(0,13,17)</f>
        <v>0.009224537037037036</v>
      </c>
      <c r="E28" s="21" t="s">
        <v>97</v>
      </c>
      <c r="F28" s="22">
        <f>TIME(0,27,7)-D28</f>
        <v>0.009606481481481481</v>
      </c>
      <c r="G28" s="21" t="s">
        <v>98</v>
      </c>
      <c r="H28" s="22">
        <f>TIME(0,42,18)-D28-F28</f>
        <v>0.010543981481481479</v>
      </c>
      <c r="I28" s="21" t="s">
        <v>99</v>
      </c>
      <c r="J28" s="22">
        <f>TIME(0,56,16)-D28-F28-H28</f>
        <v>0.009699074074074077</v>
      </c>
      <c r="K28" s="23">
        <f t="shared" si="2"/>
        <v>0.039074074074074074</v>
      </c>
      <c r="L28" s="19">
        <v>4</v>
      </c>
    </row>
    <row r="29" spans="1:12" ht="12.75">
      <c r="A29" s="19">
        <v>3</v>
      </c>
      <c r="B29" s="20" t="s">
        <v>51</v>
      </c>
      <c r="C29" s="21" t="s">
        <v>100</v>
      </c>
      <c r="D29" s="22">
        <v>0.012175925925925929</v>
      </c>
      <c r="E29" s="21" t="s">
        <v>101</v>
      </c>
      <c r="F29" s="22">
        <f>TIME(0,32,43)-D29</f>
        <v>0.010543981481481479</v>
      </c>
      <c r="G29" s="21" t="s">
        <v>102</v>
      </c>
      <c r="H29" s="22">
        <f>TIME(0,46,48)-D29-F29</f>
        <v>0.009780092592592592</v>
      </c>
      <c r="I29" s="21" t="s">
        <v>103</v>
      </c>
      <c r="J29" s="22">
        <f>TIME(1,2,41)-F29-H29-D29</f>
        <v>0.011030092592592593</v>
      </c>
      <c r="K29" s="23">
        <f t="shared" si="2"/>
        <v>0.04353009259259259</v>
      </c>
      <c r="L29" s="19">
        <v>3</v>
      </c>
    </row>
    <row r="30" spans="1:12" ht="12.75">
      <c r="A30" s="19">
        <v>4</v>
      </c>
      <c r="B30" s="20" t="s">
        <v>36</v>
      </c>
      <c r="C30" s="21" t="s">
        <v>104</v>
      </c>
      <c r="D30" s="22">
        <v>0.009386574074074075</v>
      </c>
      <c r="E30" s="21" t="s">
        <v>105</v>
      </c>
      <c r="F30" s="22">
        <f>TIME(0,31,54)-D30</f>
        <v>0.012766203703703703</v>
      </c>
      <c r="G30" s="21" t="s">
        <v>106</v>
      </c>
      <c r="H30" s="22">
        <f>TIME(0,49,20)-D30-F30</f>
        <v>0.012106481481481482</v>
      </c>
      <c r="I30" s="21" t="s">
        <v>107</v>
      </c>
      <c r="J30" s="22">
        <f>TIME(1,5,43)-F30-H30-D30</f>
        <v>0.011377314814814812</v>
      </c>
      <c r="K30" s="23">
        <f t="shared" si="2"/>
        <v>0.04563657407407407</v>
      </c>
      <c r="L30" s="19">
        <v>2</v>
      </c>
    </row>
    <row r="31" spans="1:12" ht="12.75">
      <c r="A31" s="19">
        <v>5</v>
      </c>
      <c r="B31" s="20" t="s">
        <v>108</v>
      </c>
      <c r="C31" s="21" t="s">
        <v>109</v>
      </c>
      <c r="D31" s="22">
        <f>TIME(0,18,13)</f>
        <v>0.012650462962962962</v>
      </c>
      <c r="E31" s="21" t="s">
        <v>110</v>
      </c>
      <c r="F31" s="22">
        <f>TIME(0,38,28)-D31</f>
        <v>0.0140625</v>
      </c>
      <c r="G31" s="21" t="s">
        <v>111</v>
      </c>
      <c r="H31" s="22">
        <f>TIME(0,55,25)-D31-F31</f>
        <v>0.011770833333333333</v>
      </c>
      <c r="I31" s="21" t="s">
        <v>112</v>
      </c>
      <c r="J31" s="22">
        <f>TIME(1,12,57)-D31-F31-H31</f>
        <v>0.012175925925925932</v>
      </c>
      <c r="K31" s="23">
        <f t="shared" si="2"/>
        <v>0.050659722222222224</v>
      </c>
      <c r="L31" s="19">
        <v>1</v>
      </c>
    </row>
    <row r="32" spans="1:12" ht="12.75">
      <c r="A32" s="19">
        <v>6</v>
      </c>
      <c r="B32" s="20" t="s">
        <v>31</v>
      </c>
      <c r="C32" s="21" t="s">
        <v>113</v>
      </c>
      <c r="D32" s="22">
        <v>0.0103125</v>
      </c>
      <c r="E32" s="21" t="s">
        <v>114</v>
      </c>
      <c r="F32" s="25">
        <f>TIME(0,29,48)-D32</f>
        <v>0.010381944444444445</v>
      </c>
      <c r="G32" s="21" t="s">
        <v>115</v>
      </c>
      <c r="H32" s="22">
        <f>TIME(0,59,57)-D32-F32</f>
        <v>0.020937499999999998</v>
      </c>
      <c r="I32" s="21"/>
      <c r="J32" s="22"/>
      <c r="K32" s="23"/>
      <c r="L32" s="19"/>
    </row>
    <row r="33" spans="1:12" ht="12.75">
      <c r="A33" s="19"/>
      <c r="B33" s="20" t="s">
        <v>116</v>
      </c>
      <c r="C33" s="21" t="s">
        <v>117</v>
      </c>
      <c r="D33" s="22">
        <v>0.011006944444444444</v>
      </c>
      <c r="E33" s="21"/>
      <c r="F33" s="25"/>
      <c r="G33" s="21"/>
      <c r="H33" s="22"/>
      <c r="I33" s="21"/>
      <c r="J33" s="22"/>
      <c r="K33" s="23"/>
      <c r="L33" s="19"/>
    </row>
    <row r="34" spans="1:12" ht="12.75">
      <c r="A34" s="19"/>
      <c r="B34" s="20"/>
      <c r="C34" s="21"/>
      <c r="D34" s="22"/>
      <c r="E34" s="21"/>
      <c r="F34" s="22"/>
      <c r="G34" s="21"/>
      <c r="H34" s="22"/>
      <c r="I34" s="21"/>
      <c r="J34" s="22"/>
      <c r="K34" s="23"/>
      <c r="L34" s="19"/>
    </row>
    <row r="35" spans="1:12" ht="12.75">
      <c r="A35" s="10"/>
      <c r="B35" s="14" t="s">
        <v>59</v>
      </c>
      <c r="D35" s="15"/>
      <c r="E35" s="16"/>
      <c r="F35" s="15"/>
      <c r="G35" s="16"/>
      <c r="H35" s="15" t="s">
        <v>118</v>
      </c>
      <c r="I35" s="16"/>
      <c r="J35" s="15" t="s">
        <v>118</v>
      </c>
      <c r="K35" s="17" t="s">
        <v>118</v>
      </c>
      <c r="L35" s="18"/>
    </row>
    <row r="36" spans="1:12" ht="12.75">
      <c r="A36" s="19">
        <v>1</v>
      </c>
      <c r="B36" s="20" t="s">
        <v>119</v>
      </c>
      <c r="C36" s="21" t="s">
        <v>120</v>
      </c>
      <c r="D36" s="22">
        <v>0.010069444444444445</v>
      </c>
      <c r="E36" s="21" t="s">
        <v>121</v>
      </c>
      <c r="F36" s="22">
        <f>TIME(0,28,40)-D36</f>
        <v>0.009837962962962963</v>
      </c>
      <c r="G36" s="21" t="s">
        <v>122</v>
      </c>
      <c r="H36" s="22">
        <f>TIME(0,42,47)-D36-F36</f>
        <v>0.009803240740740739</v>
      </c>
      <c r="I36" s="21" t="s">
        <v>123</v>
      </c>
      <c r="J36" s="22">
        <f>TIME(0,57,30)-D36-F36-H36</f>
        <v>0.010219907407407405</v>
      </c>
      <c r="K36" s="23">
        <f aca="true" t="shared" si="3" ref="K36:K38">+J36+H36+F36+D36</f>
        <v>0.03993055555555555</v>
      </c>
      <c r="L36" s="19">
        <v>3</v>
      </c>
    </row>
    <row r="37" spans="1:12" ht="12.75">
      <c r="A37" s="19">
        <v>2</v>
      </c>
      <c r="B37" s="20" t="s">
        <v>124</v>
      </c>
      <c r="C37" s="21" t="s">
        <v>125</v>
      </c>
      <c r="D37" s="22">
        <v>0.010972222222222223</v>
      </c>
      <c r="E37" s="21" t="s">
        <v>126</v>
      </c>
      <c r="F37" s="22">
        <f>TIME(0,31,22)-D37</f>
        <v>0.010810185185185183</v>
      </c>
      <c r="G37" s="21" t="s">
        <v>127</v>
      </c>
      <c r="H37" s="22">
        <f>TIME(0,48,18)-D37-F37</f>
        <v>0.011759259259259257</v>
      </c>
      <c r="I37" s="21" t="s">
        <v>128</v>
      </c>
      <c r="J37" s="22">
        <f>TIME(1,3,42)-D37-F37-H37</f>
        <v>0.010694444444444444</v>
      </c>
      <c r="K37" s="23">
        <f t="shared" si="3"/>
        <v>0.04423611111111111</v>
      </c>
      <c r="L37" s="19">
        <v>2</v>
      </c>
    </row>
    <row r="38" spans="1:12" ht="12.75">
      <c r="A38" s="19">
        <v>3</v>
      </c>
      <c r="B38" s="20" t="s">
        <v>60</v>
      </c>
      <c r="C38" s="21" t="s">
        <v>129</v>
      </c>
      <c r="D38" s="22">
        <f>TIME(0,15,51)</f>
        <v>0.011006944444444444</v>
      </c>
      <c r="E38" s="21" t="s">
        <v>130</v>
      </c>
      <c r="F38" s="22">
        <f>TIME(0,31,35)-D38</f>
        <v>0.010925925925925926</v>
      </c>
      <c r="G38" s="21" t="s">
        <v>131</v>
      </c>
      <c r="H38" s="22">
        <f>TIME(0,51,5)-D38-F38</f>
        <v>0.013541666666666664</v>
      </c>
      <c r="I38" s="21" t="s">
        <v>132</v>
      </c>
      <c r="J38" s="22">
        <f>TIME(1,7,22)-D38-F38-H38</f>
        <v>0.011307870370370371</v>
      </c>
      <c r="K38" s="23">
        <f t="shared" si="3"/>
        <v>0.046782407407407404</v>
      </c>
      <c r="L38" s="19">
        <v>1</v>
      </c>
    </row>
    <row r="39" spans="1:12" ht="12.75">
      <c r="A39" s="19"/>
      <c r="B39" s="20"/>
      <c r="C39" s="21"/>
      <c r="D39" s="22"/>
      <c r="E39" s="21"/>
      <c r="F39" s="22"/>
      <c r="G39" s="21"/>
      <c r="H39" s="22"/>
      <c r="I39" s="21"/>
      <c r="J39" s="22"/>
      <c r="K39" s="23"/>
      <c r="L39" s="19"/>
    </row>
    <row r="40" spans="1:12" ht="12.75">
      <c r="A40" s="14" t="s">
        <v>133</v>
      </c>
      <c r="B40" s="14" t="s">
        <v>11</v>
      </c>
      <c r="D40" s="15"/>
      <c r="E40" s="16"/>
      <c r="F40" s="15"/>
      <c r="H40" s="15"/>
      <c r="I40" s="16"/>
      <c r="J40" s="15"/>
      <c r="K40" s="17"/>
      <c r="L40" s="18"/>
    </row>
    <row r="41" spans="1:12" ht="12.75">
      <c r="A41" s="19">
        <v>1</v>
      </c>
      <c r="B41" s="20" t="s">
        <v>116</v>
      </c>
      <c r="C41" s="21" t="s">
        <v>134</v>
      </c>
      <c r="D41" s="22">
        <v>0.009942129629629629</v>
      </c>
      <c r="E41" s="21" t="s">
        <v>135</v>
      </c>
      <c r="F41" s="22">
        <f>TIME(0,29,54)-D41</f>
        <v>0.010821759259259258</v>
      </c>
      <c r="G41" s="21" t="s">
        <v>136</v>
      </c>
      <c r="H41" s="22">
        <f>TIME(0,43,9)-D41-F41</f>
        <v>0.009201388888888893</v>
      </c>
      <c r="I41" s="21"/>
      <c r="J41" s="22"/>
      <c r="K41" s="23">
        <f aca="true" t="shared" si="4" ref="K41:K49">+H41+F41+D41</f>
        <v>0.029965277777777778</v>
      </c>
      <c r="L41" s="19">
        <v>8</v>
      </c>
    </row>
    <row r="42" spans="1:12" ht="12.75">
      <c r="A42" s="19">
        <v>2</v>
      </c>
      <c r="B42" s="20" t="s">
        <v>22</v>
      </c>
      <c r="C42" s="21" t="s">
        <v>137</v>
      </c>
      <c r="D42" s="22">
        <f>TIME(0,13,46)</f>
        <v>0.009560185185185185</v>
      </c>
      <c r="E42" s="21" t="s">
        <v>138</v>
      </c>
      <c r="F42" s="22">
        <f>TIME(0,30,6)-D42</f>
        <v>0.011342592592592592</v>
      </c>
      <c r="G42" s="21" t="s">
        <v>139</v>
      </c>
      <c r="H42" s="22">
        <f>TIME(0,43,46)-D42-F42</f>
        <v>0.00949074074074074</v>
      </c>
      <c r="I42" s="21"/>
      <c r="J42" s="22"/>
      <c r="K42" s="23">
        <f t="shared" si="4"/>
        <v>0.030393518518518518</v>
      </c>
      <c r="L42" s="19">
        <v>7</v>
      </c>
    </row>
    <row r="43" spans="1:12" ht="12.75">
      <c r="A43" s="19">
        <v>3</v>
      </c>
      <c r="B43" s="20" t="s">
        <v>12</v>
      </c>
      <c r="C43" s="21" t="s">
        <v>140</v>
      </c>
      <c r="D43" s="22">
        <f>TIME(0,13,47)</f>
        <v>0.009571759259259259</v>
      </c>
      <c r="E43" s="21" t="s">
        <v>141</v>
      </c>
      <c r="F43" s="22">
        <f>TIME(0,27,54)-D43</f>
        <v>0.00980324074074074</v>
      </c>
      <c r="G43" s="21" t="s">
        <v>142</v>
      </c>
      <c r="H43" s="22">
        <f>TIME(0,44,4)-D43-F43</f>
        <v>0.011226851851851852</v>
      </c>
      <c r="I43" s="21"/>
      <c r="J43" s="22"/>
      <c r="K43" s="23">
        <f t="shared" si="4"/>
        <v>0.030601851851851852</v>
      </c>
      <c r="L43" s="19">
        <v>6</v>
      </c>
    </row>
    <row r="44" spans="1:12" s="21" customFormat="1" ht="12.75">
      <c r="A44" s="19">
        <v>4</v>
      </c>
      <c r="B44" s="20" t="s">
        <v>41</v>
      </c>
      <c r="C44" s="21" t="s">
        <v>143</v>
      </c>
      <c r="D44" s="22">
        <v>0.010115740740740741</v>
      </c>
      <c r="E44" s="21" t="s">
        <v>144</v>
      </c>
      <c r="F44" s="22">
        <f>TIME(0,29,39)-D44</f>
        <v>0.010474537037037036</v>
      </c>
      <c r="G44" s="21" t="s">
        <v>145</v>
      </c>
      <c r="H44" s="22">
        <f>TIME(0,44,27)-D44-F44</f>
        <v>0.010277777777777778</v>
      </c>
      <c r="J44" s="22"/>
      <c r="K44" s="23">
        <f t="shared" si="4"/>
        <v>0.030868055555555555</v>
      </c>
      <c r="L44" s="19"/>
    </row>
    <row r="45" spans="1:12" ht="12.75">
      <c r="A45" s="19">
        <v>5</v>
      </c>
      <c r="B45" s="20" t="s">
        <v>146</v>
      </c>
      <c r="C45" s="21" t="s">
        <v>147</v>
      </c>
      <c r="D45" s="22">
        <f>TIME(0,14,25)</f>
        <v>0.010011574074074074</v>
      </c>
      <c r="E45" s="21" t="s">
        <v>148</v>
      </c>
      <c r="F45" s="22">
        <f>TIME(0,29,50)-D45</f>
        <v>0.01070601851851852</v>
      </c>
      <c r="G45" s="21" t="s">
        <v>149</v>
      </c>
      <c r="H45" s="22">
        <f>TIME(0,44,52)-D45-F45</f>
        <v>0.010439814814814817</v>
      </c>
      <c r="I45" s="21"/>
      <c r="J45" s="22"/>
      <c r="K45" s="23">
        <f t="shared" si="4"/>
        <v>0.03115740740740741</v>
      </c>
      <c r="L45" s="19">
        <v>5</v>
      </c>
    </row>
    <row r="46" spans="1:12" ht="12.75">
      <c r="A46" s="19">
        <v>6</v>
      </c>
      <c r="B46" s="20" t="s">
        <v>36</v>
      </c>
      <c r="C46" s="21" t="s">
        <v>150</v>
      </c>
      <c r="D46" s="22">
        <v>0.010613425925925927</v>
      </c>
      <c r="E46" s="21" t="s">
        <v>151</v>
      </c>
      <c r="F46" s="22">
        <f>TIME(0,31,54)-D46</f>
        <v>0.011539351851851851</v>
      </c>
      <c r="G46" s="21" t="s">
        <v>152</v>
      </c>
      <c r="H46" s="22">
        <f>TIME(0,50,0)-D46-F46</f>
        <v>0.012569444444444444</v>
      </c>
      <c r="I46" s="21"/>
      <c r="J46" s="22"/>
      <c r="K46" s="23">
        <f t="shared" si="4"/>
        <v>0.034722222222222224</v>
      </c>
      <c r="L46" s="19">
        <v>4</v>
      </c>
    </row>
    <row r="47" spans="1:12" ht="12.75">
      <c r="A47" s="19">
        <v>7</v>
      </c>
      <c r="B47" s="20" t="s">
        <v>31</v>
      </c>
      <c r="C47" s="21" t="s">
        <v>153</v>
      </c>
      <c r="D47" s="22">
        <v>0.010636574074074074</v>
      </c>
      <c r="E47" s="21" t="s">
        <v>154</v>
      </c>
      <c r="F47" s="22">
        <f>TIME(0,33,21)-D47</f>
        <v>0.01252314814814815</v>
      </c>
      <c r="G47" s="21" t="s">
        <v>155</v>
      </c>
      <c r="H47" s="22">
        <f>TIME(0,51,49)-D47-F47</f>
        <v>0.012824074074074073</v>
      </c>
      <c r="I47" s="21"/>
      <c r="J47" s="22"/>
      <c r="K47" s="23">
        <f t="shared" si="4"/>
        <v>0.0359837962962963</v>
      </c>
      <c r="L47" s="19">
        <v>3</v>
      </c>
    </row>
    <row r="48" spans="1:12" ht="12.75">
      <c r="A48" s="19">
        <v>8</v>
      </c>
      <c r="B48" s="20" t="s">
        <v>56</v>
      </c>
      <c r="C48" s="21" t="s">
        <v>156</v>
      </c>
      <c r="D48" s="22">
        <f>TIME(0,14,47)</f>
        <v>0.010266203703703704</v>
      </c>
      <c r="E48" s="21" t="s">
        <v>157</v>
      </c>
      <c r="F48" s="22">
        <f>TIME(0,32,47)-D48</f>
        <v>0.0125</v>
      </c>
      <c r="G48" s="21" t="s">
        <v>158</v>
      </c>
      <c r="H48" s="22">
        <f>TIME(0,52,25)-D48-F48</f>
        <v>0.013634259259259256</v>
      </c>
      <c r="I48" s="21"/>
      <c r="J48" s="22"/>
      <c r="K48" s="23">
        <f t="shared" si="4"/>
        <v>0.03640046296296296</v>
      </c>
      <c r="L48" s="19">
        <v>2</v>
      </c>
    </row>
    <row r="49" spans="1:12" ht="12.75">
      <c r="A49" s="19">
        <v>9</v>
      </c>
      <c r="B49" s="20" t="s">
        <v>51</v>
      </c>
      <c r="C49" s="21" t="s">
        <v>159</v>
      </c>
      <c r="D49" s="22">
        <v>0.011689814814814814</v>
      </c>
      <c r="E49" s="21" t="s">
        <v>160</v>
      </c>
      <c r="F49" s="22">
        <f>TIME(0,35,41)-D49</f>
        <v>0.013090277777777779</v>
      </c>
      <c r="G49" s="21" t="s">
        <v>161</v>
      </c>
      <c r="H49" s="22">
        <f>TIME(0,56,24)-D49-F49</f>
        <v>0.014386574074074078</v>
      </c>
      <c r="I49" s="21"/>
      <c r="J49" s="22"/>
      <c r="K49" s="23">
        <f t="shared" si="4"/>
        <v>0.03916666666666667</v>
      </c>
      <c r="L49" s="19">
        <v>1</v>
      </c>
    </row>
    <row r="50" spans="1:12" ht="12.75">
      <c r="A50" s="18"/>
      <c r="B50" s="20"/>
      <c r="C50" s="21"/>
      <c r="D50" s="22"/>
      <c r="E50" s="21"/>
      <c r="F50" s="22"/>
      <c r="G50" s="21"/>
      <c r="H50" s="22"/>
      <c r="I50" s="21"/>
      <c r="J50" s="22"/>
      <c r="K50" s="23"/>
      <c r="L50" s="19"/>
    </row>
    <row r="51" spans="1:12" ht="12.75">
      <c r="A51" s="26"/>
      <c r="B51" s="14" t="s">
        <v>59</v>
      </c>
      <c r="C51" s="16"/>
      <c r="D51" s="15"/>
      <c r="E51" s="16"/>
      <c r="F51" s="15"/>
      <c r="G51" s="16"/>
      <c r="H51" s="15"/>
      <c r="I51" s="16"/>
      <c r="J51" s="15"/>
      <c r="K51" s="17"/>
      <c r="L51" s="18"/>
    </row>
    <row r="52" spans="1:12" ht="12.75">
      <c r="A52" s="19">
        <v>1</v>
      </c>
      <c r="B52" s="27" t="s">
        <v>75</v>
      </c>
      <c r="C52" s="21" t="s">
        <v>162</v>
      </c>
      <c r="D52" s="22">
        <v>0.011412037037037038</v>
      </c>
      <c r="E52" s="21" t="s">
        <v>163</v>
      </c>
      <c r="F52" s="22">
        <f>TIME(0,33,18)-D52</f>
        <v>0.011712962962962961</v>
      </c>
      <c r="G52" s="21" t="s">
        <v>164</v>
      </c>
      <c r="H52" s="22">
        <f>TIME(0,50,20)-D52-F52</f>
        <v>0.0118287037037037</v>
      </c>
      <c r="I52" s="21"/>
      <c r="J52" s="22"/>
      <c r="K52" s="23">
        <f aca="true" t="shared" si="5" ref="K52:K53">+H52+F52+D52</f>
        <v>0.0349537037037037</v>
      </c>
      <c r="L52" s="19">
        <v>2</v>
      </c>
    </row>
    <row r="53" spans="1:12" ht="12.75">
      <c r="A53" s="19">
        <v>2</v>
      </c>
      <c r="B53" s="27" t="s">
        <v>88</v>
      </c>
      <c r="C53" s="21" t="s">
        <v>165</v>
      </c>
      <c r="D53" s="22">
        <v>0.011203703703703704</v>
      </c>
      <c r="E53" s="21" t="s">
        <v>166</v>
      </c>
      <c r="F53" s="22">
        <f>TIME(0,36,39)-D53</f>
        <v>0.014247685185185184</v>
      </c>
      <c r="G53" s="21" t="s">
        <v>167</v>
      </c>
      <c r="H53" s="22">
        <f>TIME(0,57,49)-D53-F53</f>
        <v>0.014699074074074078</v>
      </c>
      <c r="I53" s="21"/>
      <c r="J53" s="22"/>
      <c r="K53" s="23">
        <f t="shared" si="5"/>
        <v>0.040150462962962964</v>
      </c>
      <c r="L53" s="19">
        <v>1</v>
      </c>
    </row>
    <row r="54" spans="1:12" ht="12.75">
      <c r="A54" s="19"/>
      <c r="B54" s="20" t="s">
        <v>168</v>
      </c>
      <c r="C54" s="21" t="s">
        <v>169</v>
      </c>
      <c r="D54" s="22">
        <v>0.01144675925925926</v>
      </c>
      <c r="E54" s="21"/>
      <c r="F54" s="22"/>
      <c r="G54" s="21"/>
      <c r="H54" s="22"/>
      <c r="I54" s="21"/>
      <c r="J54" s="22"/>
      <c r="K54" s="23"/>
      <c r="L54" s="19"/>
    </row>
    <row r="55" spans="1:12" ht="12.75">
      <c r="A55" s="19"/>
      <c r="B55" s="20" t="s">
        <v>70</v>
      </c>
      <c r="C55" s="21" t="s">
        <v>170</v>
      </c>
      <c r="D55" s="22">
        <v>0.013807870370370371</v>
      </c>
      <c r="E55" s="21" t="s">
        <v>171</v>
      </c>
      <c r="F55" s="22">
        <f>TIME(0,37,38)-D55</f>
        <v>0.012326388888888888</v>
      </c>
      <c r="G55" s="21" t="s">
        <v>172</v>
      </c>
      <c r="H55" s="22">
        <f>TIME(1,3,48)-D55-F55</f>
        <v>0.018171296296296297</v>
      </c>
      <c r="I55" s="21"/>
      <c r="J55" s="22"/>
      <c r="K55" s="23">
        <f>+H55+F55+D55</f>
        <v>0.044305555555555556</v>
      </c>
      <c r="L55" s="18"/>
    </row>
    <row r="56" spans="1:12" ht="12.75">
      <c r="A56" s="19"/>
      <c r="B56" s="20"/>
      <c r="C56" s="21"/>
      <c r="D56" s="22"/>
      <c r="E56" s="21"/>
      <c r="F56" s="22"/>
      <c r="G56" s="21"/>
      <c r="H56" s="22"/>
      <c r="I56" s="21"/>
      <c r="J56" s="22"/>
      <c r="K56" s="23"/>
      <c r="L56" s="18"/>
    </row>
    <row r="57" spans="1:12" ht="12.75">
      <c r="A57" s="14" t="s">
        <v>173</v>
      </c>
      <c r="B57" s="14" t="s">
        <v>11</v>
      </c>
      <c r="C57" s="16"/>
      <c r="D57" s="15"/>
      <c r="E57" s="16"/>
      <c r="F57" s="15"/>
      <c r="G57" s="16"/>
      <c r="H57" s="15"/>
      <c r="I57" s="16"/>
      <c r="J57" s="15"/>
      <c r="K57" s="17"/>
      <c r="L57" s="18"/>
    </row>
    <row r="58" spans="1:12" ht="12.75">
      <c r="A58" s="19">
        <v>1</v>
      </c>
      <c r="B58" s="20" t="s">
        <v>41</v>
      </c>
      <c r="C58" s="21" t="s">
        <v>174</v>
      </c>
      <c r="D58" s="22">
        <f>TIME(0,14,57)</f>
        <v>0.010381944444444444</v>
      </c>
      <c r="E58" s="21" t="s">
        <v>175</v>
      </c>
      <c r="F58" s="22">
        <f>TIME(0,32,5)-D58</f>
        <v>0.011898148148148147</v>
      </c>
      <c r="G58" s="21" t="s">
        <v>176</v>
      </c>
      <c r="H58" s="22">
        <f>TIME(0,46,14)-D58-F58</f>
        <v>0.009826388888888888</v>
      </c>
      <c r="I58" s="21"/>
      <c r="J58" s="22"/>
      <c r="K58" s="23">
        <f aca="true" t="shared" si="6" ref="K58:K62">+H58+F58+D58</f>
        <v>0.03210648148148148</v>
      </c>
      <c r="L58" s="19"/>
    </row>
    <row r="59" spans="1:12" ht="12.75">
      <c r="A59" s="19">
        <v>2</v>
      </c>
      <c r="B59" s="20" t="s">
        <v>22</v>
      </c>
      <c r="C59" s="21" t="s">
        <v>177</v>
      </c>
      <c r="D59" s="22">
        <f>TIME(0,16,58)</f>
        <v>0.011782407407407408</v>
      </c>
      <c r="E59" s="21" t="s">
        <v>178</v>
      </c>
      <c r="F59" s="22">
        <f>TIME(0,33,43)-D59</f>
        <v>0.011631944444444445</v>
      </c>
      <c r="G59" s="21" t="s">
        <v>179</v>
      </c>
      <c r="H59" s="22">
        <f>TIME(0,49,47)-D59-F59</f>
        <v>0.011157407407407408</v>
      </c>
      <c r="I59" s="21"/>
      <c r="J59" s="22"/>
      <c r="K59" s="23">
        <f t="shared" si="6"/>
        <v>0.03457175925925926</v>
      </c>
      <c r="L59" s="19">
        <v>4</v>
      </c>
    </row>
    <row r="60" spans="1:12" ht="12.75">
      <c r="A60" s="19">
        <v>3</v>
      </c>
      <c r="B60" s="20" t="s">
        <v>36</v>
      </c>
      <c r="C60" s="21" t="s">
        <v>180</v>
      </c>
      <c r="D60" s="22">
        <f>TIME(0,15,17)</f>
        <v>0.010613425925925925</v>
      </c>
      <c r="E60" s="21" t="s">
        <v>181</v>
      </c>
      <c r="F60" s="22">
        <f>TIME(0,33,22)-D60</f>
        <v>0.012557870370370372</v>
      </c>
      <c r="G60" s="21" t="s">
        <v>182</v>
      </c>
      <c r="H60" s="22">
        <f>TIME(0,52,13)-D60-F60</f>
        <v>0.013090277777777774</v>
      </c>
      <c r="I60" s="21"/>
      <c r="J60" s="22"/>
      <c r="K60" s="23">
        <f t="shared" si="6"/>
        <v>0.03626157407407407</v>
      </c>
      <c r="L60" s="19">
        <v>3</v>
      </c>
    </row>
    <row r="61" spans="1:12" ht="12.75">
      <c r="A61" s="19">
        <v>4</v>
      </c>
      <c r="B61" s="20" t="s">
        <v>183</v>
      </c>
      <c r="C61" s="21" t="s">
        <v>184</v>
      </c>
      <c r="D61" s="22">
        <f>TIME(0,16,27)</f>
        <v>0.011423611111111112</v>
      </c>
      <c r="E61" s="21" t="s">
        <v>185</v>
      </c>
      <c r="F61" s="22">
        <f>TIME(0,34,36)-D61</f>
        <v>0.012604166666666665</v>
      </c>
      <c r="G61" s="21" t="s">
        <v>186</v>
      </c>
      <c r="H61" s="22">
        <f>TIME(0,52,15)-D61-F61</f>
        <v>0.012256944444444447</v>
      </c>
      <c r="I61" s="21"/>
      <c r="J61" s="22"/>
      <c r="K61" s="23">
        <f t="shared" si="6"/>
        <v>0.036284722222222225</v>
      </c>
      <c r="L61" s="19">
        <v>2</v>
      </c>
    </row>
    <row r="62" spans="1:12" ht="12.75">
      <c r="A62" s="19">
        <v>5</v>
      </c>
      <c r="B62" s="20" t="s">
        <v>56</v>
      </c>
      <c r="C62" s="21" t="s">
        <v>187</v>
      </c>
      <c r="D62" s="22">
        <f>TIME(0,19,11)</f>
        <v>0.013321759259259259</v>
      </c>
      <c r="E62" s="21" t="s">
        <v>188</v>
      </c>
      <c r="F62" s="22">
        <f>TIME(0,41,58)-D62</f>
        <v>0.01582175925925926</v>
      </c>
      <c r="G62" s="21" t="s">
        <v>189</v>
      </c>
      <c r="H62" s="22">
        <f>TIME(1,2,13)-D62-F62</f>
        <v>0.014062499999999999</v>
      </c>
      <c r="I62" s="21"/>
      <c r="J62" s="22"/>
      <c r="K62" s="23">
        <f t="shared" si="6"/>
        <v>0.04320601851851852</v>
      </c>
      <c r="L62" s="19">
        <v>1</v>
      </c>
    </row>
    <row r="63" spans="1:12" ht="12.75">
      <c r="A63" s="19"/>
      <c r="B63" s="20"/>
      <c r="C63" s="21"/>
      <c r="D63" s="22"/>
      <c r="F63" s="22"/>
      <c r="G63" s="21"/>
      <c r="H63" s="22"/>
      <c r="I63" s="21"/>
      <c r="J63" s="22"/>
      <c r="K63" s="23"/>
      <c r="L63" s="19"/>
    </row>
    <row r="64" spans="1:12" ht="12.75">
      <c r="A64" s="10"/>
      <c r="B64" s="14" t="s">
        <v>59</v>
      </c>
      <c r="C64" s="16"/>
      <c r="D64" s="15" t="s">
        <v>118</v>
      </c>
      <c r="F64" s="15" t="s">
        <v>118</v>
      </c>
      <c r="G64" s="16"/>
      <c r="H64" s="15" t="s">
        <v>118</v>
      </c>
      <c r="I64" s="16"/>
      <c r="J64" s="15"/>
      <c r="K64" s="17"/>
      <c r="L64" s="18"/>
    </row>
    <row r="65" spans="1:12" ht="12.75">
      <c r="A65" s="19">
        <v>1</v>
      </c>
      <c r="B65" s="20" t="s">
        <v>190</v>
      </c>
      <c r="C65" s="21" t="s">
        <v>191</v>
      </c>
      <c r="D65" s="22">
        <f>TIME(0,16,8)</f>
        <v>0.011203703703703704</v>
      </c>
      <c r="E65" s="21" t="s">
        <v>192</v>
      </c>
      <c r="F65" s="22">
        <f>TIME(0,33,6)-D65</f>
        <v>0.011782407407407406</v>
      </c>
      <c r="G65" s="21" t="s">
        <v>184</v>
      </c>
      <c r="H65" s="22">
        <f>TIME(0,49,58)-D65-F65</f>
        <v>0.011712962962962968</v>
      </c>
      <c r="I65" s="21"/>
      <c r="J65" s="22"/>
      <c r="K65" s="23">
        <f aca="true" t="shared" si="7" ref="K65:K66">+H65+F65+D65</f>
        <v>0.03469907407407408</v>
      </c>
      <c r="L65" s="19">
        <v>2</v>
      </c>
    </row>
    <row r="66" spans="1:12" ht="12.75">
      <c r="A66" s="1">
        <v>2</v>
      </c>
      <c r="B66" s="20" t="s">
        <v>60</v>
      </c>
      <c r="C66" s="21" t="s">
        <v>193</v>
      </c>
      <c r="D66" s="22">
        <f>TIME(0,18,6)</f>
        <v>0.012569444444444444</v>
      </c>
      <c r="E66" s="21" t="s">
        <v>194</v>
      </c>
      <c r="F66" s="22">
        <f>TIME(0,36,27)-D66</f>
        <v>0.012743055555555558</v>
      </c>
      <c r="G66" s="21" t="s">
        <v>195</v>
      </c>
      <c r="H66" s="22">
        <f>TIME(0,55,37)-D66-F66</f>
        <v>0.01331018518518518</v>
      </c>
      <c r="I66" s="21"/>
      <c r="J66" s="22"/>
      <c r="K66" s="23">
        <f t="shared" si="7"/>
        <v>0.038622685185185184</v>
      </c>
      <c r="L66" s="19">
        <v>1</v>
      </c>
    </row>
    <row r="67" spans="2:12" ht="12.75">
      <c r="B67" s="20"/>
      <c r="C67" s="21"/>
      <c r="D67" s="22"/>
      <c r="E67" s="21"/>
      <c r="F67" s="22"/>
      <c r="G67" s="21"/>
      <c r="H67" s="22"/>
      <c r="I67" s="21"/>
      <c r="J67" s="22"/>
      <c r="K67" s="23"/>
      <c r="L67" s="19"/>
    </row>
    <row r="68" ht="12.75">
      <c r="A68" s="14" t="s">
        <v>196</v>
      </c>
    </row>
    <row r="69" spans="2:11" ht="12.75">
      <c r="B69" s="20" t="s">
        <v>197</v>
      </c>
      <c r="C69" s="21" t="s">
        <v>198</v>
      </c>
      <c r="D69" s="22">
        <f>TIME(0,18,18)</f>
        <v>0.012708333333333334</v>
      </c>
      <c r="E69" s="21" t="s">
        <v>199</v>
      </c>
      <c r="F69" s="22">
        <f>TIME(0,38,20)-D69</f>
        <v>0.013912037037037037</v>
      </c>
      <c r="G69" s="21" t="s">
        <v>200</v>
      </c>
      <c r="H69" s="22">
        <f>TIME(0,56,41)-D69-F69</f>
        <v>0.012743055555555554</v>
      </c>
      <c r="I69" s="21"/>
      <c r="J69" s="22"/>
      <c r="K69" s="23">
        <f>+H69+F69+D69</f>
        <v>0.03936342592592593</v>
      </c>
    </row>
  </sheetData>
  <sheetProtection selectLockedCells="1" selectUnlockedCells="1"/>
  <printOptions/>
  <pageMargins left="0.25972222222222224" right="0.5" top="0.5" bottom="0.55" header="0.5118055555555555" footer="0.5118055555555555"/>
  <pageSetup horizontalDpi="300" verticalDpi="300" orientation="landscape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9">
      <selection activeCell="A25" sqref="A25"/>
    </sheetView>
  </sheetViews>
  <sheetFormatPr defaultColWidth="12.57421875" defaultRowHeight="15"/>
  <cols>
    <col min="1" max="1" width="11.140625" style="1" customWidth="1"/>
    <col min="2" max="2" width="16.00390625" style="6" customWidth="1"/>
    <col min="3" max="3" width="17.8515625" style="2" customWidth="1"/>
    <col min="4" max="4" width="5.421875" style="3" customWidth="1"/>
    <col min="5" max="5" width="1.1484375" style="3" hidden="1" customWidth="1"/>
    <col min="6" max="6" width="18.28125" style="2" customWidth="1"/>
    <col min="7" max="7" width="5.421875" style="3" customWidth="1"/>
    <col min="8" max="8" width="0.71875" style="3" hidden="1" customWidth="1"/>
    <col min="9" max="9" width="13.8515625" style="2" customWidth="1"/>
    <col min="10" max="10" width="5.421875" style="3" customWidth="1"/>
    <col min="11" max="11" width="0.71875" style="3" hidden="1" customWidth="1"/>
    <col min="12" max="12" width="7.8515625" style="1" customWidth="1"/>
    <col min="13" max="13" width="3.421875" style="1" customWidth="1"/>
    <col min="14" max="16384" width="13.140625" style="2" customWidth="1"/>
  </cols>
  <sheetData>
    <row r="1" spans="1:15" s="6" customFormat="1" ht="12.75">
      <c r="A1" s="10" t="s">
        <v>201</v>
      </c>
      <c r="D1" s="7"/>
      <c r="E1" s="7"/>
      <c r="G1" s="7"/>
      <c r="H1" s="7"/>
      <c r="J1" s="7"/>
      <c r="K1" s="7"/>
      <c r="L1" s="8"/>
      <c r="M1" s="7"/>
      <c r="N1" s="7"/>
      <c r="O1" s="9"/>
    </row>
    <row r="2" spans="1:13" s="6" customFormat="1" ht="12.75">
      <c r="A2" s="10"/>
      <c r="D2" s="7"/>
      <c r="E2" s="7"/>
      <c r="G2" s="7"/>
      <c r="H2" s="7"/>
      <c r="J2" s="7"/>
      <c r="K2" s="7"/>
      <c r="L2" s="8"/>
      <c r="M2" s="8"/>
    </row>
    <row r="3" spans="1:13" s="6" customFormat="1" ht="12.75">
      <c r="A3" s="11" t="s">
        <v>1</v>
      </c>
      <c r="B3" s="11" t="s">
        <v>2</v>
      </c>
      <c r="C3" s="11" t="s">
        <v>3</v>
      </c>
      <c r="D3" s="12" t="s">
        <v>4</v>
      </c>
      <c r="E3" s="12"/>
      <c r="F3" s="11" t="s">
        <v>5</v>
      </c>
      <c r="G3" s="12" t="s">
        <v>4</v>
      </c>
      <c r="H3" s="12"/>
      <c r="I3" s="11" t="s">
        <v>6</v>
      </c>
      <c r="J3" s="12" t="s">
        <v>4</v>
      </c>
      <c r="K3" s="12"/>
      <c r="L3" s="11" t="s">
        <v>8</v>
      </c>
      <c r="M3" s="11" t="s">
        <v>9</v>
      </c>
    </row>
    <row r="4" spans="1:13" s="6" customFormat="1" ht="12.75">
      <c r="A4" s="11"/>
      <c r="B4" s="11"/>
      <c r="C4" s="11"/>
      <c r="D4" s="12"/>
      <c r="E4" s="12"/>
      <c r="F4" s="11"/>
      <c r="G4" s="12"/>
      <c r="H4" s="12"/>
      <c r="I4" s="11"/>
      <c r="J4" s="12"/>
      <c r="K4" s="12"/>
      <c r="L4" s="11"/>
      <c r="M4" s="11"/>
    </row>
    <row r="5" spans="1:13" s="6" customFormat="1" ht="12.75">
      <c r="A5" s="14" t="s">
        <v>10</v>
      </c>
      <c r="B5" s="14" t="s">
        <v>11</v>
      </c>
      <c r="D5" s="28"/>
      <c r="E5" s="28"/>
      <c r="G5" s="28"/>
      <c r="H5" s="28"/>
      <c r="J5" s="28"/>
      <c r="K5" s="28"/>
      <c r="L5" s="29"/>
      <c r="M5" s="29"/>
    </row>
    <row r="6" spans="1:13" s="21" customFormat="1" ht="12.75">
      <c r="A6" s="19">
        <v>1</v>
      </c>
      <c r="B6" s="20" t="s">
        <v>22</v>
      </c>
      <c r="C6" s="21" t="s">
        <v>202</v>
      </c>
      <c r="D6" s="22">
        <f>TIME(0,14,51)</f>
        <v>0.0103125</v>
      </c>
      <c r="E6" s="22"/>
      <c r="F6" s="21" t="s">
        <v>203</v>
      </c>
      <c r="G6" s="22">
        <f>TIME(0,29,57)-D6</f>
        <v>0.010486111111111111</v>
      </c>
      <c r="H6" s="22"/>
      <c r="I6" s="21" t="s">
        <v>204</v>
      </c>
      <c r="J6" s="22">
        <f>TIME(0,45,20)-D6-G6</f>
        <v>0.010682870370370365</v>
      </c>
      <c r="K6" s="22"/>
      <c r="L6" s="23">
        <f aca="true" t="shared" si="0" ref="L6:L14">+J6+G6+D6</f>
        <v>0.03148148148148148</v>
      </c>
      <c r="M6" s="19">
        <v>8</v>
      </c>
    </row>
    <row r="7" spans="1:13" s="21" customFormat="1" ht="12.75">
      <c r="A7" s="19">
        <v>2</v>
      </c>
      <c r="B7" s="20" t="s">
        <v>146</v>
      </c>
      <c r="C7" s="21" t="s">
        <v>205</v>
      </c>
      <c r="D7" s="22">
        <v>0.01105324074074074</v>
      </c>
      <c r="E7" s="22"/>
      <c r="F7" s="21" t="s">
        <v>206</v>
      </c>
      <c r="G7" s="22">
        <f>TIME(0,32,8)-D7</f>
        <v>0.011261574074074075</v>
      </c>
      <c r="H7" s="22"/>
      <c r="I7" s="21" t="s">
        <v>207</v>
      </c>
      <c r="J7" s="22">
        <f>TIME(0,47,20)-D7-G7</f>
        <v>0.010555555555555556</v>
      </c>
      <c r="K7" s="22"/>
      <c r="L7" s="23">
        <f t="shared" si="0"/>
        <v>0.03287037037037037</v>
      </c>
      <c r="M7" s="19">
        <v>7</v>
      </c>
    </row>
    <row r="8" spans="1:13" s="21" customFormat="1" ht="12.75">
      <c r="A8" s="19">
        <v>3</v>
      </c>
      <c r="B8" s="20" t="s">
        <v>46</v>
      </c>
      <c r="C8" s="21" t="s">
        <v>208</v>
      </c>
      <c r="D8" s="22">
        <v>0.010833333333333334</v>
      </c>
      <c r="E8" s="22"/>
      <c r="F8" s="21" t="s">
        <v>209</v>
      </c>
      <c r="G8" s="22">
        <f>TIME(0,32,0)-D8</f>
        <v>0.01138888888888889</v>
      </c>
      <c r="H8" s="22"/>
      <c r="I8" s="21" t="s">
        <v>210</v>
      </c>
      <c r="J8" s="22">
        <f>TIME(0,48,10)-D8-G8</f>
        <v>0.011226851851851852</v>
      </c>
      <c r="K8" s="22"/>
      <c r="L8" s="23">
        <f t="shared" si="0"/>
        <v>0.033449074074074076</v>
      </c>
      <c r="M8" s="19">
        <v>6</v>
      </c>
    </row>
    <row r="9" spans="1:13" s="21" customFormat="1" ht="12.75">
      <c r="A9" s="19">
        <v>4</v>
      </c>
      <c r="B9" s="20" t="s">
        <v>27</v>
      </c>
      <c r="C9" s="21" t="s">
        <v>211</v>
      </c>
      <c r="D9" s="22">
        <f>TIME(0,18,41)</f>
        <v>0.012974537037037038</v>
      </c>
      <c r="E9" s="22"/>
      <c r="F9" s="21" t="s">
        <v>212</v>
      </c>
      <c r="G9" s="22">
        <f>TIME(0,35,29)-D9</f>
        <v>0.011666666666666665</v>
      </c>
      <c r="H9" s="22"/>
      <c r="I9" s="21" t="s">
        <v>213</v>
      </c>
      <c r="J9" s="22">
        <f>TIME(0,50,12)-D9-G9</f>
        <v>0.01021990740740741</v>
      </c>
      <c r="K9" s="22"/>
      <c r="L9" s="23">
        <f t="shared" si="0"/>
        <v>0.034861111111111114</v>
      </c>
      <c r="M9" s="19">
        <v>5</v>
      </c>
    </row>
    <row r="10" spans="1:13" s="21" customFormat="1" ht="12.75">
      <c r="A10" s="19">
        <v>5</v>
      </c>
      <c r="B10" s="20" t="s">
        <v>36</v>
      </c>
      <c r="C10" s="21" t="s">
        <v>214</v>
      </c>
      <c r="D10" s="22">
        <f>TIME(0,15,56)</f>
        <v>0.011064814814814816</v>
      </c>
      <c r="E10" s="22"/>
      <c r="F10" s="21" t="s">
        <v>215</v>
      </c>
      <c r="G10" s="22">
        <f>TIME(0,32,44)-D10</f>
        <v>0.011666666666666665</v>
      </c>
      <c r="H10" s="22"/>
      <c r="I10" s="21" t="s">
        <v>216</v>
      </c>
      <c r="J10" s="22">
        <f>TIME(0,50,14)-D10-G10</f>
        <v>0.01215277777777778</v>
      </c>
      <c r="K10" s="22"/>
      <c r="L10" s="23">
        <f t="shared" si="0"/>
        <v>0.03488425925925926</v>
      </c>
      <c r="M10" s="19">
        <v>4</v>
      </c>
    </row>
    <row r="11" spans="1:13" s="21" customFormat="1" ht="12.75">
      <c r="A11" s="19">
        <v>6</v>
      </c>
      <c r="B11" s="20" t="s">
        <v>31</v>
      </c>
      <c r="C11" s="21" t="s">
        <v>217</v>
      </c>
      <c r="D11" s="22">
        <f>TIME(0,18,6)</f>
        <v>0.012569444444444444</v>
      </c>
      <c r="E11" s="22"/>
      <c r="F11" s="21" t="s">
        <v>218</v>
      </c>
      <c r="G11" s="22">
        <f>TIME(0,35,15)-D11</f>
        <v>0.011909722222222223</v>
      </c>
      <c r="H11" s="22"/>
      <c r="I11" s="21" t="s">
        <v>219</v>
      </c>
      <c r="J11" s="22">
        <f>TIME(0,52,54)-D11-G11</f>
        <v>0.01225694444444444</v>
      </c>
      <c r="K11" s="22"/>
      <c r="L11" s="23">
        <f t="shared" si="0"/>
        <v>0.03673611111111111</v>
      </c>
      <c r="M11" s="19">
        <v>3</v>
      </c>
    </row>
    <row r="12" spans="1:13" s="21" customFormat="1" ht="12.75">
      <c r="A12" s="19">
        <v>7</v>
      </c>
      <c r="B12" s="20" t="s">
        <v>12</v>
      </c>
      <c r="C12" s="21" t="s">
        <v>220</v>
      </c>
      <c r="D12" s="22">
        <f>TIME(0,15,26)</f>
        <v>0.010717592592592593</v>
      </c>
      <c r="E12" s="22"/>
      <c r="F12" s="21" t="s">
        <v>221</v>
      </c>
      <c r="G12" s="22">
        <f>TIME(0,33,18)-D12</f>
        <v>0.012407407407407407</v>
      </c>
      <c r="H12" s="22"/>
      <c r="I12" s="21" t="s">
        <v>222</v>
      </c>
      <c r="J12" s="22">
        <f>TIME(0,53,36)-D12-G12</f>
        <v>0.014097222222222221</v>
      </c>
      <c r="K12" s="22"/>
      <c r="L12" s="23">
        <f t="shared" si="0"/>
        <v>0.03722222222222222</v>
      </c>
      <c r="M12" s="19">
        <v>2</v>
      </c>
    </row>
    <row r="13" spans="1:13" s="21" customFormat="1" ht="12.75">
      <c r="A13" s="19">
        <v>8</v>
      </c>
      <c r="B13" s="20" t="s">
        <v>41</v>
      </c>
      <c r="C13" s="21" t="s">
        <v>223</v>
      </c>
      <c r="D13" s="22">
        <f>TIME(0,15,56)</f>
        <v>0.011064814814814816</v>
      </c>
      <c r="E13" s="22"/>
      <c r="F13" s="21" t="s">
        <v>224</v>
      </c>
      <c r="G13" s="22">
        <f>TIME(0,33,56)-D13</f>
        <v>0.0125</v>
      </c>
      <c r="H13" s="22"/>
      <c r="I13" s="21" t="s">
        <v>225</v>
      </c>
      <c r="J13" s="22">
        <f>TIME(0,54,4)-D13-G13</f>
        <v>0.013981481481481477</v>
      </c>
      <c r="K13" s="22"/>
      <c r="L13" s="23">
        <f t="shared" si="0"/>
        <v>0.03754629629629629</v>
      </c>
      <c r="M13" s="19"/>
    </row>
    <row r="14" spans="1:13" s="21" customFormat="1" ht="12.75">
      <c r="A14" s="19">
        <v>9</v>
      </c>
      <c r="B14" s="20" t="s">
        <v>51</v>
      </c>
      <c r="C14" s="21" t="s">
        <v>226</v>
      </c>
      <c r="D14" s="22">
        <f>TIME(0,19,30)</f>
        <v>0.013541666666666667</v>
      </c>
      <c r="E14" s="22"/>
      <c r="F14" s="21" t="s">
        <v>227</v>
      </c>
      <c r="G14" s="22">
        <f>TIME(0,37,51)-D14</f>
        <v>0.012743055555555556</v>
      </c>
      <c r="H14" s="22"/>
      <c r="I14" s="21" t="s">
        <v>228</v>
      </c>
      <c r="J14" s="22">
        <f>TIME(0,54,20)-D14-G14</f>
        <v>0.01144675925925926</v>
      </c>
      <c r="K14" s="22"/>
      <c r="L14" s="23">
        <f t="shared" si="0"/>
        <v>0.037731481481481484</v>
      </c>
      <c r="M14" s="19">
        <v>1</v>
      </c>
    </row>
    <row r="15" spans="1:13" s="21" customFormat="1" ht="12.75">
      <c r="A15" s="19"/>
      <c r="B15" s="20" t="s">
        <v>56</v>
      </c>
      <c r="C15" s="21" t="s">
        <v>229</v>
      </c>
      <c r="D15" s="22">
        <f>TIME(0,21,28)</f>
        <v>0.014907407407407407</v>
      </c>
      <c r="E15" s="22"/>
      <c r="G15" s="22"/>
      <c r="H15" s="22"/>
      <c r="J15" s="22"/>
      <c r="K15" s="22"/>
      <c r="L15" s="23"/>
      <c r="M15" s="19"/>
    </row>
    <row r="16" spans="1:13" s="21" customFormat="1" ht="12.75">
      <c r="A16" s="19"/>
      <c r="B16" s="20"/>
      <c r="D16" s="22"/>
      <c r="E16" s="22"/>
      <c r="G16" s="22"/>
      <c r="H16" s="22"/>
      <c r="J16" s="22"/>
      <c r="K16" s="22"/>
      <c r="L16" s="23"/>
      <c r="M16" s="19"/>
    </row>
    <row r="17" spans="1:15" ht="12.75">
      <c r="A17" s="24"/>
      <c r="B17" s="14" t="s">
        <v>59</v>
      </c>
      <c r="C17" s="16"/>
      <c r="D17" s="15"/>
      <c r="E17" s="15"/>
      <c r="H17" s="15"/>
      <c r="I17" s="16"/>
      <c r="J17" s="15"/>
      <c r="K17" s="15"/>
      <c r="L17" s="16"/>
      <c r="M17" s="19"/>
      <c r="N17" s="19"/>
      <c r="O17" s="19"/>
    </row>
    <row r="18" spans="1:13" s="21" customFormat="1" ht="12.75">
      <c r="A18" s="19">
        <v>1</v>
      </c>
      <c r="B18" s="20" t="s">
        <v>75</v>
      </c>
      <c r="C18" s="21" t="s">
        <v>230</v>
      </c>
      <c r="D18" s="22">
        <v>0.011261574074074071</v>
      </c>
      <c r="E18" s="22"/>
      <c r="F18" s="21" t="s">
        <v>231</v>
      </c>
      <c r="G18" s="22">
        <f>TIME(0,34,11)-D18</f>
        <v>0.012476851851851855</v>
      </c>
      <c r="H18" s="22"/>
      <c r="I18" s="21" t="s">
        <v>232</v>
      </c>
      <c r="J18" s="22">
        <f>TIME(0,51,17)-D18-G18</f>
        <v>0.011874999999999998</v>
      </c>
      <c r="K18" s="22"/>
      <c r="L18" s="23">
        <f aca="true" t="shared" si="1" ref="L18:L24">+J18+G18+D18</f>
        <v>0.03561342592592592</v>
      </c>
      <c r="M18" s="19">
        <v>6</v>
      </c>
    </row>
    <row r="19" spans="1:13" s="21" customFormat="1" ht="12.75">
      <c r="A19" s="19">
        <v>2</v>
      </c>
      <c r="B19" s="20" t="s">
        <v>60</v>
      </c>
      <c r="C19" s="21" t="s">
        <v>233</v>
      </c>
      <c r="D19" s="22">
        <f>TIME(0,16,25)</f>
        <v>0.011400462962962963</v>
      </c>
      <c r="E19" s="22"/>
      <c r="F19" s="21" t="s">
        <v>234</v>
      </c>
      <c r="G19" s="22">
        <f>TIME(0,34,35)-D19</f>
        <v>0.01261574074074074</v>
      </c>
      <c r="H19" s="22"/>
      <c r="I19" s="21" t="s">
        <v>235</v>
      </c>
      <c r="J19" s="22">
        <f>TIME(0,53,2)-D19-G19</f>
        <v>0.012812500000000001</v>
      </c>
      <c r="K19" s="22"/>
      <c r="L19" s="23">
        <f t="shared" si="1"/>
        <v>0.036828703703703704</v>
      </c>
      <c r="M19" s="19">
        <v>5</v>
      </c>
    </row>
    <row r="20" spans="1:13" s="21" customFormat="1" ht="12.75">
      <c r="A20" s="19">
        <v>3</v>
      </c>
      <c r="B20" s="20" t="s">
        <v>88</v>
      </c>
      <c r="C20" s="21" t="s">
        <v>236</v>
      </c>
      <c r="D20" s="22">
        <v>0.01247685185185185</v>
      </c>
      <c r="E20" s="22"/>
      <c r="F20" s="21" t="s">
        <v>237</v>
      </c>
      <c r="G20" s="22">
        <f>TIME(0,35,14)-D20</f>
        <v>0.011990740740740743</v>
      </c>
      <c r="H20" s="22"/>
      <c r="I20" s="21" t="s">
        <v>238</v>
      </c>
      <c r="J20" s="22">
        <f>TIME(0,53,52)-D20-G20</f>
        <v>0.012939814814814817</v>
      </c>
      <c r="K20" s="22"/>
      <c r="L20" s="23">
        <f t="shared" si="1"/>
        <v>0.03740740740740741</v>
      </c>
      <c r="M20" s="19">
        <v>4</v>
      </c>
    </row>
    <row r="21" spans="1:13" s="21" customFormat="1" ht="12.75">
      <c r="A21" s="19">
        <v>4</v>
      </c>
      <c r="B21" s="20" t="s">
        <v>85</v>
      </c>
      <c r="C21" s="21" t="s">
        <v>239</v>
      </c>
      <c r="D21" s="22">
        <f>TIME(0,17,49)</f>
        <v>0.012372685185185184</v>
      </c>
      <c r="E21" s="22"/>
      <c r="F21" s="21" t="s">
        <v>240</v>
      </c>
      <c r="G21" s="22">
        <f>TIME(0,39,57)-D21</f>
        <v>0.015370370370370371</v>
      </c>
      <c r="H21" s="22"/>
      <c r="I21" s="21" t="s">
        <v>241</v>
      </c>
      <c r="J21" s="22">
        <f>TIME(0,59,49)-D21-G21</f>
        <v>0.0137962962962963</v>
      </c>
      <c r="K21" s="22"/>
      <c r="L21" s="23">
        <f t="shared" si="1"/>
        <v>0.041539351851851855</v>
      </c>
      <c r="M21" s="19">
        <v>3</v>
      </c>
    </row>
    <row r="22" spans="1:13" s="21" customFormat="1" ht="12.75">
      <c r="A22" s="19">
        <v>5</v>
      </c>
      <c r="B22" s="20" t="s">
        <v>70</v>
      </c>
      <c r="C22" s="21" t="s">
        <v>242</v>
      </c>
      <c r="D22" s="22">
        <f>TIME(0,19,22)</f>
        <v>0.013449074074074073</v>
      </c>
      <c r="E22" s="22"/>
      <c r="F22" s="21" t="s">
        <v>243</v>
      </c>
      <c r="G22" s="22">
        <f>TIME(0,40,14)-D22</f>
        <v>0.01449074074074074</v>
      </c>
      <c r="H22" s="22"/>
      <c r="I22" s="21" t="s">
        <v>244</v>
      </c>
      <c r="J22" s="22">
        <f>TIME(1,1,29)-D22-G22</f>
        <v>0.01475694444444445</v>
      </c>
      <c r="K22" s="22"/>
      <c r="L22" s="23">
        <f t="shared" si="1"/>
        <v>0.04269675925925926</v>
      </c>
      <c r="M22" s="19">
        <v>2</v>
      </c>
    </row>
    <row r="23" spans="1:13" s="21" customFormat="1" ht="12.75">
      <c r="A23" s="19">
        <v>6</v>
      </c>
      <c r="B23" s="20" t="s">
        <v>245</v>
      </c>
      <c r="C23" s="21" t="s">
        <v>246</v>
      </c>
      <c r="D23" s="22">
        <v>0.01596064814814815</v>
      </c>
      <c r="E23" s="22"/>
      <c r="F23" s="21" t="s">
        <v>247</v>
      </c>
      <c r="G23" s="22">
        <f>TIME(0,41,34)-D23</f>
        <v>0.01290509259259259</v>
      </c>
      <c r="H23" s="22"/>
      <c r="I23" s="21" t="s">
        <v>248</v>
      </c>
      <c r="J23" s="22">
        <f>TIME(1,2,2)-D23-G23</f>
        <v>0.014212962962962962</v>
      </c>
      <c r="K23" s="22"/>
      <c r="L23" s="23">
        <f t="shared" si="1"/>
        <v>0.0430787037037037</v>
      </c>
      <c r="M23" s="19">
        <v>1</v>
      </c>
    </row>
    <row r="24" spans="1:13" s="21" customFormat="1" ht="12.75">
      <c r="A24" s="19">
        <v>7</v>
      </c>
      <c r="B24" s="20" t="s">
        <v>249</v>
      </c>
      <c r="C24" s="21" t="s">
        <v>250</v>
      </c>
      <c r="D24" s="22">
        <v>0.013958333333333335</v>
      </c>
      <c r="E24" s="22"/>
      <c r="F24" s="21" t="s">
        <v>251</v>
      </c>
      <c r="G24" s="22">
        <f>TIME(0,40,32)-D24</f>
        <v>0.014189814814814813</v>
      </c>
      <c r="H24" s="22"/>
      <c r="I24" s="21" t="s">
        <v>252</v>
      </c>
      <c r="J24" s="22">
        <f>TIME(1,2,27)-D24-G24</f>
        <v>0.015219907407407406</v>
      </c>
      <c r="K24" s="22"/>
      <c r="L24" s="23">
        <f t="shared" si="1"/>
        <v>0.043368055555555556</v>
      </c>
      <c r="M24" s="19"/>
    </row>
    <row r="25" spans="1:13" s="21" customFormat="1" ht="12.75">
      <c r="A25" s="19"/>
      <c r="B25" s="20" t="s">
        <v>253</v>
      </c>
      <c r="C25" s="21" t="s">
        <v>254</v>
      </c>
      <c r="D25" s="22">
        <f>TIME(0,39,7)-(TIME(0,18,41))</f>
        <v>0.014189814814814815</v>
      </c>
      <c r="E25" s="22"/>
      <c r="F25" s="21" t="s">
        <v>255</v>
      </c>
      <c r="G25" s="22">
        <f>TIME(0,58,15)-D25-(TIME(0,18,41))</f>
        <v>0.013287037037037038</v>
      </c>
      <c r="H25" s="22"/>
      <c r="J25" s="22"/>
      <c r="K25" s="22"/>
      <c r="L25" s="23"/>
      <c r="M25" s="19"/>
    </row>
    <row r="26" spans="1:13" s="21" customFormat="1" ht="12.75">
      <c r="A26" s="19"/>
      <c r="B26" s="20" t="s">
        <v>256</v>
      </c>
      <c r="C26" s="21" t="s">
        <v>257</v>
      </c>
      <c r="D26" s="22">
        <v>0.010023148148148147</v>
      </c>
      <c r="E26" s="22"/>
      <c r="G26" s="22"/>
      <c r="H26" s="22"/>
      <c r="J26" s="22"/>
      <c r="K26" s="22"/>
      <c r="L26" s="23"/>
      <c r="M26" s="19"/>
    </row>
    <row r="27" spans="1:13" s="21" customFormat="1" ht="12.75">
      <c r="A27" s="19"/>
      <c r="B27" s="20"/>
      <c r="D27" s="22"/>
      <c r="E27" s="22"/>
      <c r="G27" s="22"/>
      <c r="H27" s="22"/>
      <c r="J27" s="22"/>
      <c r="K27" s="22"/>
      <c r="L27" s="23"/>
      <c r="M27" s="19"/>
    </row>
    <row r="28" spans="1:13" s="6" customFormat="1" ht="12.75">
      <c r="A28" s="14" t="s">
        <v>258</v>
      </c>
      <c r="B28" s="14" t="s">
        <v>11</v>
      </c>
      <c r="D28" s="7"/>
      <c r="E28" s="7"/>
      <c r="G28" s="7"/>
      <c r="H28" s="7"/>
      <c r="J28" s="7"/>
      <c r="K28" s="7"/>
      <c r="L28" s="8"/>
      <c r="M28" s="8"/>
    </row>
    <row r="29" spans="1:13" s="21" customFormat="1" ht="12.75">
      <c r="A29" s="19">
        <v>1</v>
      </c>
      <c r="B29" s="20" t="s">
        <v>51</v>
      </c>
      <c r="C29" s="21" t="s">
        <v>259</v>
      </c>
      <c r="D29" s="22">
        <f>TIME(0,16,40)</f>
        <v>0.011574074074074073</v>
      </c>
      <c r="E29" s="22"/>
      <c r="F29" s="21" t="s">
        <v>260</v>
      </c>
      <c r="G29" s="22">
        <f>TIME(0,31,40)-D29</f>
        <v>0.010416666666666668</v>
      </c>
      <c r="H29" s="22"/>
      <c r="I29" s="21" t="s">
        <v>261</v>
      </c>
      <c r="J29" s="22">
        <f>TIME(0,46,58)-D29-G29</f>
        <v>0.010625000000000002</v>
      </c>
      <c r="K29" s="22"/>
      <c r="L29" s="23">
        <f aca="true" t="shared" si="2" ref="L29:L34">+J29+G29+D29</f>
        <v>0.032615740740740744</v>
      </c>
      <c r="M29" s="19">
        <v>6</v>
      </c>
    </row>
    <row r="30" spans="1:13" s="21" customFormat="1" ht="12.75">
      <c r="A30" s="19">
        <v>2</v>
      </c>
      <c r="B30" s="20" t="s">
        <v>56</v>
      </c>
      <c r="C30" s="21" t="s">
        <v>262</v>
      </c>
      <c r="D30" s="22">
        <f>TIME(0,17,29)</f>
        <v>0.012141203703703704</v>
      </c>
      <c r="E30" s="22"/>
      <c r="F30" s="21" t="s">
        <v>263</v>
      </c>
      <c r="G30" s="22">
        <f>TIME(0,31,31)-D30</f>
        <v>0.009745370370370371</v>
      </c>
      <c r="H30" s="22"/>
      <c r="I30" s="21" t="s">
        <v>264</v>
      </c>
      <c r="J30" s="22">
        <f>TIME(0,51,14)-D30-G30</f>
        <v>0.013692129629629629</v>
      </c>
      <c r="K30" s="22"/>
      <c r="L30" s="23">
        <f t="shared" si="2"/>
        <v>0.0355787037037037</v>
      </c>
      <c r="M30" s="19">
        <v>5</v>
      </c>
    </row>
    <row r="31" spans="1:13" s="21" customFormat="1" ht="12.75">
      <c r="A31" s="19">
        <v>3</v>
      </c>
      <c r="B31" s="20" t="s">
        <v>22</v>
      </c>
      <c r="C31" s="21" t="s">
        <v>265</v>
      </c>
      <c r="D31" s="22">
        <f>TIME(0,16,54)</f>
        <v>0.01173611111111111</v>
      </c>
      <c r="E31" s="22"/>
      <c r="F31" s="21" t="s">
        <v>266</v>
      </c>
      <c r="G31" s="22">
        <f>TIME(0,34,44)-D31</f>
        <v>0.012384259259259262</v>
      </c>
      <c r="H31" s="22"/>
      <c r="I31" s="21" t="s">
        <v>267</v>
      </c>
      <c r="J31" s="22">
        <f>TIME(0,52,29)-D31-G31</f>
        <v>0.01232638888888889</v>
      </c>
      <c r="K31" s="22"/>
      <c r="L31" s="23">
        <f t="shared" si="2"/>
        <v>0.03644675925925926</v>
      </c>
      <c r="M31" s="19">
        <v>4</v>
      </c>
    </row>
    <row r="32" spans="1:13" s="21" customFormat="1" ht="12.75">
      <c r="A32" s="19">
        <v>4</v>
      </c>
      <c r="B32" s="20" t="s">
        <v>31</v>
      </c>
      <c r="C32" s="21" t="s">
        <v>268</v>
      </c>
      <c r="D32" s="22">
        <f>TIME(0,18,4)</f>
        <v>0.012546296296296297</v>
      </c>
      <c r="E32" s="22"/>
      <c r="F32" s="21" t="s">
        <v>269</v>
      </c>
      <c r="G32" s="22">
        <f>TIME(0,38,56)-D32</f>
        <v>0.01449074074074074</v>
      </c>
      <c r="H32" s="22"/>
      <c r="I32" s="21" t="s">
        <v>270</v>
      </c>
      <c r="J32" s="22">
        <f>TIME(0,58,25)-D32-G32</f>
        <v>0.013530092592592588</v>
      </c>
      <c r="K32" s="22"/>
      <c r="L32" s="23">
        <f t="shared" si="2"/>
        <v>0.04056712962962963</v>
      </c>
      <c r="M32" s="19">
        <v>3</v>
      </c>
    </row>
    <row r="33" spans="1:13" s="21" customFormat="1" ht="12.75">
      <c r="A33" s="19">
        <v>5</v>
      </c>
      <c r="B33" s="20" t="s">
        <v>271</v>
      </c>
      <c r="C33" s="21" t="s">
        <v>272</v>
      </c>
      <c r="D33" s="22">
        <v>0.012627314814814815</v>
      </c>
      <c r="E33" s="22"/>
      <c r="F33" s="21" t="s">
        <v>273</v>
      </c>
      <c r="G33" s="22">
        <f>TIME(0,37,33)-D33</f>
        <v>0.013449074074074073</v>
      </c>
      <c r="H33" s="22"/>
      <c r="I33" s="21" t="s">
        <v>274</v>
      </c>
      <c r="J33" s="22">
        <f>TIME(1,2,57)-D33-G33</f>
        <v>0.01763888888888889</v>
      </c>
      <c r="K33" s="22"/>
      <c r="L33" s="23">
        <f t="shared" si="2"/>
        <v>0.043715277777777777</v>
      </c>
      <c r="M33" s="19">
        <v>2</v>
      </c>
    </row>
    <row r="34" spans="1:13" s="21" customFormat="1" ht="12.75">
      <c r="A34" s="19">
        <v>6</v>
      </c>
      <c r="B34" s="20" t="s">
        <v>12</v>
      </c>
      <c r="C34" s="21" t="s">
        <v>275</v>
      </c>
      <c r="D34" s="22">
        <f>TIME(0,21,18)</f>
        <v>0.014791666666666667</v>
      </c>
      <c r="E34" s="22"/>
      <c r="F34" s="21" t="s">
        <v>276</v>
      </c>
      <c r="G34" s="22">
        <f>TIME(0,43,6)-D34</f>
        <v>0.015138888888888887</v>
      </c>
      <c r="H34" s="22"/>
      <c r="I34" s="21" t="s">
        <v>277</v>
      </c>
      <c r="J34" s="22">
        <f>TIME(1,4,54)-D34-G34</f>
        <v>0.015138888888888891</v>
      </c>
      <c r="K34" s="22"/>
      <c r="L34" s="23">
        <f t="shared" si="2"/>
        <v>0.04506944444444445</v>
      </c>
      <c r="M34" s="19">
        <v>1</v>
      </c>
    </row>
    <row r="35" spans="1:13" ht="12.75">
      <c r="A35" s="19"/>
      <c r="B35" s="20"/>
      <c r="C35" s="21"/>
      <c r="D35" s="22"/>
      <c r="E35" s="22"/>
      <c r="F35" s="21"/>
      <c r="G35" s="22"/>
      <c r="H35" s="22"/>
      <c r="I35" s="21"/>
      <c r="J35" s="22"/>
      <c r="K35" s="22"/>
      <c r="L35" s="23"/>
      <c r="M35" s="19"/>
    </row>
    <row r="36" spans="1:13" ht="12.75">
      <c r="A36" s="14"/>
      <c r="B36" s="14" t="s">
        <v>59</v>
      </c>
      <c r="D36" s="15"/>
      <c r="E36" s="7"/>
      <c r="G36" s="7"/>
      <c r="H36" s="7"/>
      <c r="J36" s="7"/>
      <c r="K36" s="7"/>
      <c r="L36" s="8"/>
      <c r="M36" s="8"/>
    </row>
    <row r="37" spans="1:13" s="21" customFormat="1" ht="12.75">
      <c r="A37" s="19">
        <v>1</v>
      </c>
      <c r="B37" s="20" t="s">
        <v>190</v>
      </c>
      <c r="C37" s="21" t="s">
        <v>278</v>
      </c>
      <c r="D37" s="22">
        <f>TIME(0,16,9)</f>
        <v>0.011215277777777777</v>
      </c>
      <c r="E37" s="22"/>
      <c r="F37" s="21" t="s">
        <v>279</v>
      </c>
      <c r="G37" s="22">
        <f>TIME(0,34,9)-D37</f>
        <v>0.012499999999999999</v>
      </c>
      <c r="H37" s="22"/>
      <c r="I37" s="21" t="s">
        <v>280</v>
      </c>
      <c r="J37" s="22">
        <f>TIME(0,50,43)-D37-G37</f>
        <v>0.011504629629629634</v>
      </c>
      <c r="K37" s="22"/>
      <c r="L37" s="23">
        <f aca="true" t="shared" si="3" ref="L37:L39">+J37+G37+D37</f>
        <v>0.03521990740740741</v>
      </c>
      <c r="M37" s="19">
        <v>3</v>
      </c>
    </row>
    <row r="38" spans="1:13" s="21" customFormat="1" ht="12.75">
      <c r="A38" s="19">
        <v>2</v>
      </c>
      <c r="B38" s="20" t="s">
        <v>60</v>
      </c>
      <c r="C38" s="21" t="s">
        <v>281</v>
      </c>
      <c r="D38" s="22">
        <f>TIME(0,18,4)</f>
        <v>0.012546296296296297</v>
      </c>
      <c r="E38" s="22"/>
      <c r="F38" s="21" t="s">
        <v>282</v>
      </c>
      <c r="G38" s="22">
        <f>TIME(0,37,35)-D38</f>
        <v>0.013553240740740739</v>
      </c>
      <c r="H38" s="22"/>
      <c r="I38" s="21" t="s">
        <v>283</v>
      </c>
      <c r="J38" s="22">
        <f>TIME(0,55,14)-D38-G38</f>
        <v>0.012256944444444447</v>
      </c>
      <c r="K38" s="22"/>
      <c r="L38" s="23">
        <f t="shared" si="3"/>
        <v>0.038356481481481484</v>
      </c>
      <c r="M38" s="19">
        <v>2</v>
      </c>
    </row>
    <row r="39" spans="1:13" s="21" customFormat="1" ht="12.75">
      <c r="A39" s="19">
        <v>3</v>
      </c>
      <c r="B39" s="20" t="s">
        <v>70</v>
      </c>
      <c r="C39" s="21" t="s">
        <v>284</v>
      </c>
      <c r="D39" s="22">
        <f>TIME(0,21,54)</f>
        <v>0.015208333333333334</v>
      </c>
      <c r="E39" s="22"/>
      <c r="F39" s="21" t="s">
        <v>285</v>
      </c>
      <c r="G39" s="22">
        <f>TIME(0,47,28)-D39</f>
        <v>0.01775462962962963</v>
      </c>
      <c r="H39" s="22"/>
      <c r="I39" s="21" t="s">
        <v>286</v>
      </c>
      <c r="J39" s="22">
        <f>TIME(1,18,44)-D39-G39</f>
        <v>0.021712962962962965</v>
      </c>
      <c r="K39" s="22"/>
      <c r="L39" s="23">
        <f t="shared" si="3"/>
        <v>0.05467592592592593</v>
      </c>
      <c r="M39" s="19">
        <v>1</v>
      </c>
    </row>
    <row r="40" spans="1:13" s="21" customFormat="1" ht="12.75">
      <c r="A40" s="19"/>
      <c r="B40" s="20"/>
      <c r="D40" s="22"/>
      <c r="E40" s="22"/>
      <c r="G40" s="22"/>
      <c r="H40" s="22"/>
      <c r="J40" s="22"/>
      <c r="K40" s="22"/>
      <c r="L40" s="23"/>
      <c r="M40" s="19"/>
    </row>
    <row r="41" spans="1:13" s="6" customFormat="1" ht="12.75">
      <c r="A41" s="14" t="s">
        <v>287</v>
      </c>
      <c r="B41" s="14" t="s">
        <v>11</v>
      </c>
      <c r="D41" s="7"/>
      <c r="E41" s="7"/>
      <c r="G41" s="7"/>
      <c r="H41" s="7"/>
      <c r="J41" s="7"/>
      <c r="K41" s="7"/>
      <c r="L41" s="8"/>
      <c r="M41" s="8"/>
    </row>
    <row r="42" spans="1:13" s="21" customFormat="1" ht="12.75">
      <c r="A42" s="19">
        <v>1</v>
      </c>
      <c r="B42" s="20" t="s">
        <v>288</v>
      </c>
      <c r="C42" s="21" t="s">
        <v>289</v>
      </c>
      <c r="D42" s="22">
        <f>TIME(0,14,33)</f>
        <v>0.010104166666666666</v>
      </c>
      <c r="E42" s="22"/>
      <c r="F42" s="21" t="s">
        <v>290</v>
      </c>
      <c r="G42" s="22">
        <f>TIME(0,30,56)-D42</f>
        <v>0.011377314814814814</v>
      </c>
      <c r="H42" s="22"/>
      <c r="I42" s="21" t="s">
        <v>291</v>
      </c>
      <c r="J42" s="22">
        <f>TIME(0,46,42)-D42-G42</f>
        <v>0.010949074074074075</v>
      </c>
      <c r="K42" s="22"/>
      <c r="L42" s="23">
        <f aca="true" t="shared" si="4" ref="L42:L45">+J42+G42+D42</f>
        <v>0.03243055555555555</v>
      </c>
      <c r="M42" s="19">
        <v>4</v>
      </c>
    </row>
    <row r="43" spans="1:13" s="21" customFormat="1" ht="12.75">
      <c r="A43" s="19">
        <v>2</v>
      </c>
      <c r="B43" s="20" t="s">
        <v>56</v>
      </c>
      <c r="C43" s="21" t="s">
        <v>292</v>
      </c>
      <c r="D43" s="22">
        <f>TIME(0,14,11)</f>
        <v>0.009849537037037037</v>
      </c>
      <c r="E43" s="22"/>
      <c r="F43" s="21" t="s">
        <v>293</v>
      </c>
      <c r="G43" s="22">
        <f>TIME(0,30,47)-D43</f>
        <v>0.011527777777777777</v>
      </c>
      <c r="H43" s="22"/>
      <c r="I43" s="21" t="s">
        <v>294</v>
      </c>
      <c r="J43" s="22">
        <f>TIME(0,50,53)-D43-G43</f>
        <v>0.013958333333333335</v>
      </c>
      <c r="L43" s="23">
        <f t="shared" si="4"/>
        <v>0.03533564814814815</v>
      </c>
      <c r="M43" s="19">
        <v>3</v>
      </c>
    </row>
    <row r="44" spans="1:13" s="21" customFormat="1" ht="12.75">
      <c r="A44" s="19">
        <v>3</v>
      </c>
      <c r="B44" s="20" t="s">
        <v>295</v>
      </c>
      <c r="C44" s="21" t="s">
        <v>296</v>
      </c>
      <c r="D44" s="22">
        <v>0.011898148148148149</v>
      </c>
      <c r="E44" s="22"/>
      <c r="F44" s="21" t="s">
        <v>297</v>
      </c>
      <c r="G44" s="22">
        <f>TIME(0,35,30)-D44</f>
        <v>0.012754629629629628</v>
      </c>
      <c r="H44" s="22"/>
      <c r="I44" s="21" t="s">
        <v>298</v>
      </c>
      <c r="J44" s="22">
        <f>TIME(0,53,13)-D44-G44</f>
        <v>0.012303240740740741</v>
      </c>
      <c r="K44" s="22"/>
      <c r="L44" s="23">
        <f t="shared" si="4"/>
        <v>0.03695601851851852</v>
      </c>
      <c r="M44" s="19">
        <v>2</v>
      </c>
    </row>
    <row r="45" spans="1:13" s="21" customFormat="1" ht="12.75">
      <c r="A45" s="19">
        <v>4</v>
      </c>
      <c r="B45" s="20" t="s">
        <v>31</v>
      </c>
      <c r="C45" s="21" t="s">
        <v>299</v>
      </c>
      <c r="D45" s="22">
        <v>0.012777777777777777</v>
      </c>
      <c r="E45" s="22"/>
      <c r="F45" s="21" t="s">
        <v>300</v>
      </c>
      <c r="G45" s="22">
        <f>TIME(0,36,0)-D45</f>
        <v>0.012222222222222225</v>
      </c>
      <c r="H45" s="22"/>
      <c r="I45" s="21" t="s">
        <v>301</v>
      </c>
      <c r="J45" s="22">
        <f>TIME(0,55,0)-D45-G45</f>
        <v>0.013194444444444446</v>
      </c>
      <c r="K45" s="22"/>
      <c r="L45" s="23">
        <f t="shared" si="4"/>
        <v>0.03819444444444445</v>
      </c>
      <c r="M45" s="19">
        <v>1</v>
      </c>
    </row>
    <row r="46" spans="1:13" ht="12.75">
      <c r="A46" s="19"/>
      <c r="B46" s="20"/>
      <c r="C46" s="21"/>
      <c r="D46" s="22"/>
      <c r="E46" s="22"/>
      <c r="G46" s="22"/>
      <c r="H46" s="22"/>
      <c r="I46" s="21"/>
      <c r="J46" s="22"/>
      <c r="K46" s="22"/>
      <c r="L46" s="23"/>
      <c r="M46" s="19"/>
    </row>
    <row r="47" spans="1:13" ht="12.75">
      <c r="A47" s="19"/>
      <c r="B47" s="20"/>
      <c r="C47" s="21"/>
      <c r="D47" s="22"/>
      <c r="E47" s="22"/>
      <c r="F47" s="21"/>
      <c r="G47" s="20"/>
      <c r="H47" s="12"/>
      <c r="I47" s="20"/>
      <c r="J47" s="12"/>
      <c r="K47" s="12"/>
      <c r="L47" s="11"/>
      <c r="M47" s="11"/>
    </row>
    <row r="48" spans="1:13" ht="12.75">
      <c r="A48" s="14" t="s">
        <v>302</v>
      </c>
      <c r="B48" s="14" t="s">
        <v>11</v>
      </c>
      <c r="D48" s="7"/>
      <c r="E48" s="7"/>
      <c r="M48" s="18"/>
    </row>
    <row r="49" spans="1:13" s="21" customFormat="1" ht="12.75">
      <c r="A49" s="19">
        <v>1</v>
      </c>
      <c r="B49" s="20" t="s">
        <v>51</v>
      </c>
      <c r="C49" s="21" t="s">
        <v>303</v>
      </c>
      <c r="D49" s="22">
        <f>TIME(0,20,37)</f>
        <v>0.01431712962962963</v>
      </c>
      <c r="E49" s="22"/>
      <c r="F49" s="21" t="s">
        <v>304</v>
      </c>
      <c r="G49" s="22">
        <f>TIME(0,40,16)-D49</f>
        <v>0.013645833333333334</v>
      </c>
      <c r="H49" s="22"/>
      <c r="I49" s="21" t="s">
        <v>305</v>
      </c>
      <c r="J49" s="22">
        <f>TIME(0,58,5)-D49-G49</f>
        <v>0.012372685185185183</v>
      </c>
      <c r="K49" s="22"/>
      <c r="L49" s="23">
        <f aca="true" t="shared" si="5" ref="L49:L51">+J49+G49+D49</f>
        <v>0.04033564814814815</v>
      </c>
      <c r="M49" s="19">
        <v>2</v>
      </c>
    </row>
    <row r="50" spans="1:13" s="21" customFormat="1" ht="12.75">
      <c r="A50" s="19">
        <v>2</v>
      </c>
      <c r="B50" s="20" t="s">
        <v>41</v>
      </c>
      <c r="C50" s="21" t="s">
        <v>306</v>
      </c>
      <c r="D50" s="22">
        <f>TIME(0,21,27)</f>
        <v>0.014895833333333334</v>
      </c>
      <c r="E50" s="22"/>
      <c r="F50" s="21" t="s">
        <v>307</v>
      </c>
      <c r="G50" s="22">
        <f>TIME(0,41,6)-D50</f>
        <v>0.013645833333333333</v>
      </c>
      <c r="H50" s="22"/>
      <c r="I50" s="21" t="s">
        <v>308</v>
      </c>
      <c r="J50" s="22">
        <f>TIME(0,59,58)-D50-G50</f>
        <v>0.01310185185185185</v>
      </c>
      <c r="K50" s="22"/>
      <c r="L50" s="23">
        <f t="shared" si="5"/>
        <v>0.04164351851851852</v>
      </c>
      <c r="M50" s="19"/>
    </row>
    <row r="51" spans="1:13" ht="12.75">
      <c r="A51" s="1">
        <v>3</v>
      </c>
      <c r="B51" s="20" t="s">
        <v>22</v>
      </c>
      <c r="C51" s="21" t="s">
        <v>309</v>
      </c>
      <c r="D51" s="22">
        <f>TIME(0,18,22)</f>
        <v>0.01275462962962963</v>
      </c>
      <c r="E51" s="22"/>
      <c r="F51" s="21" t="s">
        <v>310</v>
      </c>
      <c r="G51" s="22">
        <f>TIME(0,40,25)-D51</f>
        <v>0.0153125</v>
      </c>
      <c r="H51" s="22"/>
      <c r="I51" s="21" t="s">
        <v>311</v>
      </c>
      <c r="J51" s="22">
        <f>TIME(1,3,43)-D51-G51</f>
        <v>0.01618055555555556</v>
      </c>
      <c r="K51" s="22"/>
      <c r="L51" s="23">
        <f t="shared" si="5"/>
        <v>0.04424768518518519</v>
      </c>
      <c r="M51" s="19">
        <v>1</v>
      </c>
    </row>
    <row r="53" spans="1:12" ht="12.75">
      <c r="A53" s="24"/>
      <c r="B53" s="14" t="s">
        <v>59</v>
      </c>
      <c r="C53" s="21"/>
      <c r="D53" s="22"/>
      <c r="E53" s="22"/>
      <c r="F53" s="21"/>
      <c r="G53" s="22"/>
      <c r="H53" s="22"/>
      <c r="I53" s="21"/>
      <c r="J53" s="22"/>
      <c r="K53" s="22"/>
      <c r="L53" s="19"/>
    </row>
    <row r="54" spans="1:12" ht="12.75">
      <c r="A54" s="19">
        <v>1</v>
      </c>
      <c r="B54" s="20" t="s">
        <v>312</v>
      </c>
      <c r="C54" s="21" t="s">
        <v>313</v>
      </c>
      <c r="D54" s="22">
        <f>TIME(0,20,7)</f>
        <v>0.013969907407407407</v>
      </c>
      <c r="E54" s="22"/>
      <c r="F54" s="21"/>
      <c r="G54" s="22"/>
      <c r="H54" s="22"/>
      <c r="I54" s="21"/>
      <c r="J54" s="22"/>
      <c r="K54" s="22"/>
      <c r="L54" s="23"/>
    </row>
  </sheetData>
  <sheetProtection selectLockedCells="1" selectUnlockedCells="1"/>
  <printOptions/>
  <pageMargins left="0.7" right="0.7" top="0.44027777777777777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G9" sqref="G9"/>
    </sheetView>
  </sheetViews>
  <sheetFormatPr defaultColWidth="8.00390625" defaultRowHeight="15"/>
  <cols>
    <col min="1" max="1" width="5.7109375" style="30" customWidth="1"/>
    <col min="2" max="2" width="14.421875" style="31" customWidth="1"/>
    <col min="3" max="3" width="14.8515625" style="32" customWidth="1"/>
    <col min="4" max="4" width="5.421875" style="33" customWidth="1"/>
    <col min="5" max="5" width="15.8515625" style="32" customWidth="1"/>
    <col min="6" max="6" width="5.421875" style="33" customWidth="1"/>
    <col min="7" max="7" width="12.8515625" style="32" customWidth="1"/>
    <col min="8" max="8" width="5.421875" style="34" customWidth="1"/>
    <col min="9" max="9" width="8.57421875" style="33" customWidth="1"/>
    <col min="10" max="10" width="3.421875" style="30" customWidth="1"/>
    <col min="11" max="16384" width="9.140625" style="32" customWidth="1"/>
  </cols>
  <sheetData>
    <row r="1" spans="1:10" s="38" customFormat="1" ht="15.75">
      <c r="A1" s="5" t="s">
        <v>314</v>
      </c>
      <c r="B1" s="35"/>
      <c r="C1" s="35"/>
      <c r="D1" s="36"/>
      <c r="E1" s="35"/>
      <c r="F1" s="36"/>
      <c r="G1" s="35"/>
      <c r="H1" s="36"/>
      <c r="I1" s="37"/>
      <c r="J1" s="35"/>
    </row>
    <row r="2" spans="1:10" s="38" customFormat="1" ht="15.75">
      <c r="A2" s="39"/>
      <c r="B2" s="35"/>
      <c r="C2" s="35"/>
      <c r="D2" s="36"/>
      <c r="E2" s="35"/>
      <c r="F2" s="36"/>
      <c r="G2" s="35"/>
      <c r="H2" s="36"/>
      <c r="I2" s="37"/>
      <c r="J2" s="35"/>
    </row>
    <row r="3" spans="1:10" s="38" customFormat="1" ht="15.75">
      <c r="A3" s="39"/>
      <c r="B3" s="35"/>
      <c r="C3" s="35"/>
      <c r="D3" s="36"/>
      <c r="E3" s="35"/>
      <c r="F3" s="36"/>
      <c r="G3" s="35"/>
      <c r="H3" s="36"/>
      <c r="I3" s="37"/>
      <c r="J3" s="35"/>
    </row>
    <row r="4" spans="1:10" s="38" customFormat="1" ht="15.75">
      <c r="A4" s="29" t="s">
        <v>1</v>
      </c>
      <c r="B4" s="29" t="s">
        <v>2</v>
      </c>
      <c r="C4" s="29" t="s">
        <v>3</v>
      </c>
      <c r="D4" s="28" t="s">
        <v>4</v>
      </c>
      <c r="E4" s="29" t="s">
        <v>5</v>
      </c>
      <c r="F4" s="28" t="s">
        <v>4</v>
      </c>
      <c r="G4" s="29" t="s">
        <v>6</v>
      </c>
      <c r="H4" s="28" t="s">
        <v>4</v>
      </c>
      <c r="I4" s="28" t="s">
        <v>8</v>
      </c>
      <c r="J4" s="29" t="s">
        <v>9</v>
      </c>
    </row>
    <row r="5" spans="1:10" s="38" customFormat="1" ht="15.75">
      <c r="A5" s="29"/>
      <c r="B5" s="29"/>
      <c r="C5" s="29"/>
      <c r="D5" s="28"/>
      <c r="E5" s="29"/>
      <c r="F5" s="28"/>
      <c r="G5" s="29"/>
      <c r="H5" s="28"/>
      <c r="I5" s="28"/>
      <c r="J5" s="29"/>
    </row>
    <row r="6" spans="1:10" s="38" customFormat="1" ht="15.75">
      <c r="A6" s="40" t="s">
        <v>315</v>
      </c>
      <c r="B6" s="40" t="s">
        <v>316</v>
      </c>
      <c r="C6" s="29"/>
      <c r="D6" s="28"/>
      <c r="E6" s="29"/>
      <c r="F6" s="28"/>
      <c r="H6" s="28"/>
      <c r="I6" s="28"/>
      <c r="J6" s="29"/>
    </row>
    <row r="7" spans="1:10" ht="15.75">
      <c r="A7" s="41">
        <v>1</v>
      </c>
      <c r="B7" s="42" t="s">
        <v>146</v>
      </c>
      <c r="C7" s="43" t="s">
        <v>317</v>
      </c>
      <c r="D7" s="44">
        <v>0.012627314814814815</v>
      </c>
      <c r="E7" s="43" t="s">
        <v>318</v>
      </c>
      <c r="F7" s="44">
        <f>TIME(0,34,28)-D7</f>
        <v>0.01130787037037037</v>
      </c>
      <c r="G7" s="43" t="s">
        <v>319</v>
      </c>
      <c r="H7" s="25">
        <f>TIME(0,49,42)-D7-F7</f>
        <v>0.010578703703703703</v>
      </c>
      <c r="I7" s="45">
        <f aca="true" t="shared" si="0" ref="I7:I9">+H7+F7+D7</f>
        <v>0.034513888888888886</v>
      </c>
      <c r="J7" s="19">
        <v>3</v>
      </c>
    </row>
    <row r="8" spans="1:10" ht="15.75">
      <c r="A8" s="41">
        <v>2</v>
      </c>
      <c r="B8" s="27" t="s">
        <v>22</v>
      </c>
      <c r="C8" s="43" t="s">
        <v>320</v>
      </c>
      <c r="D8" s="22">
        <f>TIME(0,16,31)</f>
        <v>0.011469907407407408</v>
      </c>
      <c r="E8" s="21" t="s">
        <v>321</v>
      </c>
      <c r="F8" s="22">
        <f>TIME(0,33,48)-D8</f>
        <v>0.012002314814814813</v>
      </c>
      <c r="G8" s="43" t="s">
        <v>322</v>
      </c>
      <c r="H8" s="25">
        <f>TIME(0,58,0)-D8-F8</f>
        <v>0.01680555555555556</v>
      </c>
      <c r="I8" s="45">
        <f t="shared" si="0"/>
        <v>0.04027777777777778</v>
      </c>
      <c r="J8" s="19">
        <v>2</v>
      </c>
    </row>
    <row r="9" spans="1:10" ht="15.75">
      <c r="A9" s="19">
        <v>3</v>
      </c>
      <c r="B9" s="42" t="s">
        <v>75</v>
      </c>
      <c r="C9" s="43" t="s">
        <v>323</v>
      </c>
      <c r="D9" s="44">
        <v>0.014166666666666666</v>
      </c>
      <c r="E9" s="43" t="s">
        <v>324</v>
      </c>
      <c r="F9" s="44">
        <f>TIME(0,44,13)-D9</f>
        <v>0.016539351851851854</v>
      </c>
      <c r="G9" s="43" t="s">
        <v>325</v>
      </c>
      <c r="H9" s="25">
        <f>TIME(1,3,57)-D9-F9</f>
        <v>0.013703703703703704</v>
      </c>
      <c r="I9" s="45">
        <f t="shared" si="0"/>
        <v>0.044409722222222225</v>
      </c>
      <c r="J9" s="41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59"/>
  <sheetViews>
    <sheetView workbookViewId="0" topLeftCell="A1">
      <selection activeCell="B5" sqref="B5"/>
    </sheetView>
  </sheetViews>
  <sheetFormatPr defaultColWidth="8.00390625" defaultRowHeight="15"/>
  <cols>
    <col min="1" max="1" width="0.9921875" style="46" customWidth="1"/>
    <col min="2" max="2" width="14.421875" style="46" customWidth="1"/>
    <col min="3" max="3" width="3.00390625" style="47" customWidth="1"/>
    <col min="4" max="4" width="3.57421875" style="47" customWidth="1"/>
    <col min="5" max="5" width="3.8515625" style="47" customWidth="1"/>
    <col min="6" max="6" width="3.140625" style="47" customWidth="1"/>
    <col min="7" max="7" width="3.00390625" style="47" customWidth="1"/>
    <col min="8" max="8" width="3.421875" style="47" customWidth="1"/>
    <col min="9" max="9" width="11.7109375" style="46" customWidth="1"/>
    <col min="10" max="10" width="14.421875" style="46" customWidth="1"/>
    <col min="11" max="11" width="2.7109375" style="47" customWidth="1"/>
    <col min="12" max="12" width="3.57421875" style="47" customWidth="1"/>
    <col min="13" max="13" width="3.8515625" style="47" customWidth="1"/>
    <col min="14" max="14" width="3.140625" style="47" customWidth="1"/>
    <col min="15" max="15" width="3.00390625" style="47" customWidth="1"/>
    <col min="16" max="16" width="3.421875" style="47" customWidth="1"/>
    <col min="17" max="17" width="1.421875" style="48" customWidth="1"/>
    <col min="18" max="18" width="1.421875" style="46" customWidth="1"/>
    <col min="19" max="19" width="1.421875" style="48" customWidth="1"/>
    <col min="20" max="20" width="14.421875" style="46" customWidth="1"/>
    <col min="21" max="21" width="3.00390625" style="47" customWidth="1"/>
    <col min="22" max="22" width="3.57421875" style="47" customWidth="1"/>
    <col min="23" max="23" width="3.8515625" style="47" customWidth="1"/>
    <col min="24" max="24" width="3.140625" style="47" customWidth="1"/>
    <col min="25" max="25" width="3.00390625" style="47" customWidth="1"/>
    <col min="26" max="26" width="3.421875" style="47" customWidth="1"/>
    <col min="27" max="27" width="11.57421875" style="46" customWidth="1"/>
    <col min="28" max="28" width="14.421875" style="46" customWidth="1"/>
    <col min="29" max="29" width="2.7109375" style="47" customWidth="1"/>
    <col min="30" max="30" width="3.57421875" style="47" customWidth="1"/>
    <col min="31" max="31" width="3.8515625" style="47" customWidth="1"/>
    <col min="32" max="32" width="3.140625" style="47" customWidth="1"/>
    <col min="33" max="33" width="3.00390625" style="47" customWidth="1"/>
    <col min="34" max="34" width="3.421875" style="47" customWidth="1"/>
    <col min="35" max="16384" width="9.140625" style="46" customWidth="1"/>
  </cols>
  <sheetData>
    <row r="1" ht="12.75">
      <c r="R1" s="49"/>
    </row>
    <row r="2" spans="9:27" ht="15.75">
      <c r="I2" s="50" t="s">
        <v>326</v>
      </c>
      <c r="R2" s="49"/>
      <c r="AA2" s="50" t="s">
        <v>327</v>
      </c>
    </row>
    <row r="3" spans="10:18" ht="13.5">
      <c r="J3" s="51"/>
      <c r="K3" s="52"/>
      <c r="L3" s="52"/>
      <c r="M3" s="52"/>
      <c r="N3" s="52"/>
      <c r="O3" s="52"/>
      <c r="P3" s="52"/>
      <c r="R3" s="49"/>
    </row>
    <row r="4" spans="2:34" ht="13.5">
      <c r="B4" s="53" t="s">
        <v>328</v>
      </c>
      <c r="C4" s="54" t="s">
        <v>329</v>
      </c>
      <c r="D4" s="55" t="s">
        <v>330</v>
      </c>
      <c r="E4" s="55" t="s">
        <v>331</v>
      </c>
      <c r="F4" s="55" t="s">
        <v>332</v>
      </c>
      <c r="G4" s="55" t="s">
        <v>333</v>
      </c>
      <c r="H4" s="55" t="s">
        <v>334</v>
      </c>
      <c r="J4" s="53" t="s">
        <v>335</v>
      </c>
      <c r="K4" s="54" t="s">
        <v>329</v>
      </c>
      <c r="L4" s="55" t="s">
        <v>330</v>
      </c>
      <c r="M4" s="55" t="s">
        <v>331</v>
      </c>
      <c r="N4" s="55" t="s">
        <v>332</v>
      </c>
      <c r="O4" s="55" t="s">
        <v>333</v>
      </c>
      <c r="P4" s="55" t="s">
        <v>334</v>
      </c>
      <c r="R4" s="49"/>
      <c r="T4" s="56" t="s">
        <v>328</v>
      </c>
      <c r="U4" s="57" t="s">
        <v>329</v>
      </c>
      <c r="V4" s="58" t="s">
        <v>330</v>
      </c>
      <c r="W4" s="58" t="s">
        <v>331</v>
      </c>
      <c r="X4" s="55" t="s">
        <v>332</v>
      </c>
      <c r="Y4" s="58" t="s">
        <v>333</v>
      </c>
      <c r="Z4" s="58" t="s">
        <v>334</v>
      </c>
      <c r="AB4" s="53" t="s">
        <v>335</v>
      </c>
      <c r="AC4" s="54" t="s">
        <v>329</v>
      </c>
      <c r="AD4" s="55" t="s">
        <v>330</v>
      </c>
      <c r="AE4" s="55" t="s">
        <v>331</v>
      </c>
      <c r="AF4" s="55" t="s">
        <v>332</v>
      </c>
      <c r="AG4" s="55" t="s">
        <v>333</v>
      </c>
      <c r="AH4" s="55" t="s">
        <v>334</v>
      </c>
    </row>
    <row r="5" spans="2:34" ht="12.75">
      <c r="B5" s="59" t="s">
        <v>22</v>
      </c>
      <c r="C5" s="19">
        <v>8</v>
      </c>
      <c r="D5" s="60">
        <v>9</v>
      </c>
      <c r="E5" s="60">
        <v>8</v>
      </c>
      <c r="F5" s="60">
        <v>5</v>
      </c>
      <c r="G5" s="60"/>
      <c r="H5" s="61">
        <f aca="true" t="shared" si="0" ref="H5:H14">SUM(C5:G5)</f>
        <v>30</v>
      </c>
      <c r="J5" s="59" t="s">
        <v>146</v>
      </c>
      <c r="K5" s="19">
        <v>8</v>
      </c>
      <c r="L5" s="60">
        <v>5</v>
      </c>
      <c r="M5" s="60">
        <v>7</v>
      </c>
      <c r="N5" s="60">
        <v>7</v>
      </c>
      <c r="O5" s="60"/>
      <c r="P5" s="61">
        <f aca="true" t="shared" si="1" ref="P5:P13">SUM(K5:O5)</f>
        <v>27</v>
      </c>
      <c r="R5" s="49"/>
      <c r="T5" s="62" t="s">
        <v>60</v>
      </c>
      <c r="U5" s="60">
        <v>7</v>
      </c>
      <c r="V5" s="60">
        <v>5</v>
      </c>
      <c r="W5" s="60">
        <v>3</v>
      </c>
      <c r="X5" s="60">
        <v>6</v>
      </c>
      <c r="Y5" s="60"/>
      <c r="Z5" s="63">
        <f aca="true" t="shared" si="2" ref="Z5:Z15">SUM(U5:Y5)</f>
        <v>21</v>
      </c>
      <c r="AB5" s="62" t="s">
        <v>75</v>
      </c>
      <c r="AC5" s="64">
        <v>3</v>
      </c>
      <c r="AD5" s="65">
        <v>4</v>
      </c>
      <c r="AE5" s="65">
        <v>9</v>
      </c>
      <c r="AF5" s="65">
        <v>6</v>
      </c>
      <c r="AG5" s="65"/>
      <c r="AH5" s="66">
        <f aca="true" t="shared" si="3" ref="AH5:AH12">SUM(AC5:AG5)</f>
        <v>22</v>
      </c>
    </row>
    <row r="6" spans="2:34" ht="12.75">
      <c r="B6" s="59" t="s">
        <v>17</v>
      </c>
      <c r="C6" s="19">
        <v>5</v>
      </c>
      <c r="D6" s="1">
        <v>10</v>
      </c>
      <c r="E6" s="1">
        <v>7</v>
      </c>
      <c r="F6" s="1">
        <v>6</v>
      </c>
      <c r="G6" s="1"/>
      <c r="H6" s="61">
        <f t="shared" si="0"/>
        <v>28</v>
      </c>
      <c r="J6" s="59" t="s">
        <v>22</v>
      </c>
      <c r="K6" s="19">
        <v>3</v>
      </c>
      <c r="L6" s="1">
        <v>8</v>
      </c>
      <c r="M6" s="1">
        <v>8</v>
      </c>
      <c r="N6" s="1">
        <v>8</v>
      </c>
      <c r="O6" s="1"/>
      <c r="P6" s="61">
        <f t="shared" si="1"/>
        <v>27</v>
      </c>
      <c r="R6" s="49"/>
      <c r="T6" s="59" t="s">
        <v>75</v>
      </c>
      <c r="U6" s="1">
        <v>5</v>
      </c>
      <c r="V6" s="1">
        <v>4</v>
      </c>
      <c r="W6" s="1">
        <v>5</v>
      </c>
      <c r="X6" s="1">
        <v>3</v>
      </c>
      <c r="Y6" s="1"/>
      <c r="Z6" s="67">
        <f t="shared" si="2"/>
        <v>17</v>
      </c>
      <c r="AB6" s="59" t="s">
        <v>70</v>
      </c>
      <c r="AC6" s="19">
        <v>2</v>
      </c>
      <c r="AD6" s="68">
        <v>3</v>
      </c>
      <c r="AE6" s="68">
        <v>5</v>
      </c>
      <c r="AF6" s="68">
        <v>2</v>
      </c>
      <c r="AG6" s="68"/>
      <c r="AH6" s="61">
        <f t="shared" si="3"/>
        <v>12</v>
      </c>
    </row>
    <row r="7" spans="2:34" ht="12.75">
      <c r="B7" s="59" t="s">
        <v>12</v>
      </c>
      <c r="C7" s="19">
        <v>7</v>
      </c>
      <c r="D7" s="1">
        <v>2</v>
      </c>
      <c r="E7" s="1">
        <v>9</v>
      </c>
      <c r="F7" s="1">
        <v>7</v>
      </c>
      <c r="G7" s="1"/>
      <c r="H7" s="61">
        <f t="shared" si="0"/>
        <v>25</v>
      </c>
      <c r="J7" s="59" t="s">
        <v>36</v>
      </c>
      <c r="K7" s="19">
        <v>5</v>
      </c>
      <c r="L7" s="1">
        <v>7</v>
      </c>
      <c r="M7" s="1">
        <v>5</v>
      </c>
      <c r="N7" s="1">
        <v>4</v>
      </c>
      <c r="O7" s="1"/>
      <c r="P7" s="61">
        <f t="shared" si="1"/>
        <v>21</v>
      </c>
      <c r="R7" s="49"/>
      <c r="T7" s="59" t="s">
        <v>65</v>
      </c>
      <c r="U7" s="1">
        <v>4</v>
      </c>
      <c r="V7" s="1"/>
      <c r="W7" s="1">
        <v>6</v>
      </c>
      <c r="X7" s="1">
        <v>5</v>
      </c>
      <c r="Y7" s="1"/>
      <c r="Z7" s="67">
        <f t="shared" si="2"/>
        <v>15</v>
      </c>
      <c r="AB7" s="59" t="s">
        <v>88</v>
      </c>
      <c r="AC7" s="1"/>
      <c r="AD7" s="68"/>
      <c r="AE7" s="68">
        <v>8</v>
      </c>
      <c r="AF7" s="68">
        <v>4</v>
      </c>
      <c r="AG7" s="68"/>
      <c r="AH7" s="61">
        <f t="shared" si="3"/>
        <v>12</v>
      </c>
    </row>
    <row r="8" spans="2:34" ht="12.75">
      <c r="B8" s="59" t="s">
        <v>27</v>
      </c>
      <c r="C8" s="19">
        <v>6</v>
      </c>
      <c r="D8" s="1">
        <v>8</v>
      </c>
      <c r="E8" s="1">
        <v>10</v>
      </c>
      <c r="F8" s="1"/>
      <c r="G8" s="1"/>
      <c r="H8" s="61">
        <f t="shared" si="0"/>
        <v>24</v>
      </c>
      <c r="J8" s="59" t="s">
        <v>336</v>
      </c>
      <c r="K8" s="19">
        <v>7</v>
      </c>
      <c r="L8" s="1">
        <v>2</v>
      </c>
      <c r="M8" s="1">
        <v>4</v>
      </c>
      <c r="N8" s="1">
        <v>6</v>
      </c>
      <c r="O8" s="1"/>
      <c r="P8" s="61">
        <f t="shared" si="1"/>
        <v>19</v>
      </c>
      <c r="R8" s="49"/>
      <c r="T8" s="59" t="s">
        <v>70</v>
      </c>
      <c r="U8" s="1">
        <v>2</v>
      </c>
      <c r="V8" s="1"/>
      <c r="W8" s="1">
        <v>4</v>
      </c>
      <c r="X8" s="1">
        <v>4</v>
      </c>
      <c r="Y8" s="1"/>
      <c r="Z8" s="67">
        <f t="shared" si="2"/>
        <v>10</v>
      </c>
      <c r="AB8" s="59" t="s">
        <v>190</v>
      </c>
      <c r="AC8" s="19">
        <v>4</v>
      </c>
      <c r="AD8" s="1">
        <v>5</v>
      </c>
      <c r="AE8" s="1">
        <v>2</v>
      </c>
      <c r="AF8" s="1"/>
      <c r="AG8" s="1"/>
      <c r="AH8" s="67">
        <f t="shared" si="3"/>
        <v>11</v>
      </c>
    </row>
    <row r="9" spans="2:34" ht="12.75">
      <c r="B9" s="59" t="s">
        <v>31</v>
      </c>
      <c r="C9" s="19">
        <v>3</v>
      </c>
      <c r="D9" s="1">
        <v>6</v>
      </c>
      <c r="E9" s="1">
        <v>6</v>
      </c>
      <c r="F9" s="1">
        <v>4</v>
      </c>
      <c r="G9" s="1"/>
      <c r="H9" s="61">
        <f t="shared" si="0"/>
        <v>19</v>
      </c>
      <c r="J9" s="59" t="s">
        <v>12</v>
      </c>
      <c r="K9" s="19">
        <v>6</v>
      </c>
      <c r="L9" s="1">
        <v>4</v>
      </c>
      <c r="M9" s="1">
        <v>3</v>
      </c>
      <c r="N9" s="1">
        <v>2</v>
      </c>
      <c r="O9" s="1"/>
      <c r="P9" s="61">
        <f t="shared" si="1"/>
        <v>15</v>
      </c>
      <c r="R9" s="49"/>
      <c r="T9" s="59" t="s">
        <v>253</v>
      </c>
      <c r="U9" s="1"/>
      <c r="V9" s="1"/>
      <c r="W9" s="1">
        <v>7</v>
      </c>
      <c r="X9" s="1"/>
      <c r="Y9" s="1"/>
      <c r="Z9" s="67">
        <f t="shared" si="2"/>
        <v>7</v>
      </c>
      <c r="AB9" s="59" t="s">
        <v>60</v>
      </c>
      <c r="AC9" s="19">
        <v>1</v>
      </c>
      <c r="AD9" s="1">
        <v>1</v>
      </c>
      <c r="AE9" s="1">
        <v>4</v>
      </c>
      <c r="AF9" s="1">
        <v>5</v>
      </c>
      <c r="AG9" s="1"/>
      <c r="AH9" s="67">
        <f t="shared" si="3"/>
        <v>11</v>
      </c>
    </row>
    <row r="10" spans="2:34" ht="12.75">
      <c r="B10" s="59" t="s">
        <v>116</v>
      </c>
      <c r="C10" s="19">
        <v>4</v>
      </c>
      <c r="D10" s="1">
        <v>7</v>
      </c>
      <c r="E10" s="1">
        <v>5</v>
      </c>
      <c r="F10" s="1"/>
      <c r="G10" s="1"/>
      <c r="H10" s="61">
        <f t="shared" si="0"/>
        <v>16</v>
      </c>
      <c r="J10" s="59" t="s">
        <v>51</v>
      </c>
      <c r="K10" s="19">
        <v>4</v>
      </c>
      <c r="L10" s="1">
        <v>6</v>
      </c>
      <c r="M10" s="1">
        <v>2</v>
      </c>
      <c r="N10" s="1">
        <v>1</v>
      </c>
      <c r="O10" s="1"/>
      <c r="P10" s="61">
        <f t="shared" si="1"/>
        <v>13</v>
      </c>
      <c r="R10" s="49"/>
      <c r="T10" s="59" t="s">
        <v>168</v>
      </c>
      <c r="U10" s="1">
        <v>6</v>
      </c>
      <c r="V10" s="1"/>
      <c r="W10" s="1"/>
      <c r="X10" s="1"/>
      <c r="Y10" s="1"/>
      <c r="Z10" s="67">
        <f t="shared" si="2"/>
        <v>6</v>
      </c>
      <c r="AB10" s="59" t="s">
        <v>108</v>
      </c>
      <c r="AC10" s="1"/>
      <c r="AD10" s="1"/>
      <c r="AE10" s="1">
        <v>7</v>
      </c>
      <c r="AF10" s="1"/>
      <c r="AG10" s="1"/>
      <c r="AH10" s="67">
        <f t="shared" si="3"/>
        <v>7</v>
      </c>
    </row>
    <row r="11" spans="2:34" ht="12.75">
      <c r="B11" s="59" t="s">
        <v>51</v>
      </c>
      <c r="C11" s="19">
        <v>2</v>
      </c>
      <c r="D11" s="1">
        <v>5</v>
      </c>
      <c r="E11" s="1">
        <v>3</v>
      </c>
      <c r="F11" s="1">
        <v>1</v>
      </c>
      <c r="G11" s="1"/>
      <c r="H11" s="61">
        <f t="shared" si="0"/>
        <v>11</v>
      </c>
      <c r="J11" s="59" t="s">
        <v>27</v>
      </c>
      <c r="K11" s="19">
        <v>1</v>
      </c>
      <c r="L11" s="1"/>
      <c r="M11" s="1">
        <v>6</v>
      </c>
      <c r="N11" s="1">
        <v>4</v>
      </c>
      <c r="O11" s="1"/>
      <c r="P11" s="61">
        <f t="shared" si="1"/>
        <v>11</v>
      </c>
      <c r="R11" s="49"/>
      <c r="T11" s="59" t="s">
        <v>190</v>
      </c>
      <c r="U11" s="1">
        <v>3</v>
      </c>
      <c r="V11" s="1">
        <v>3</v>
      </c>
      <c r="W11" s="1"/>
      <c r="X11" s="1"/>
      <c r="Y11" s="1"/>
      <c r="Z11" s="67">
        <f t="shared" si="2"/>
        <v>6</v>
      </c>
      <c r="AB11" s="59" t="s">
        <v>253</v>
      </c>
      <c r="AC11" s="1"/>
      <c r="AD11" s="1"/>
      <c r="AE11" s="1">
        <v>6</v>
      </c>
      <c r="AF11" s="1"/>
      <c r="AG11" s="1"/>
      <c r="AH11" s="67">
        <f t="shared" si="3"/>
        <v>6</v>
      </c>
    </row>
    <row r="12" spans="2:34" ht="12.75">
      <c r="B12" s="59" t="s">
        <v>36</v>
      </c>
      <c r="C12" s="19"/>
      <c r="D12" s="1">
        <v>4</v>
      </c>
      <c r="E12" s="1">
        <v>2</v>
      </c>
      <c r="F12" s="1">
        <v>3</v>
      </c>
      <c r="G12" s="1"/>
      <c r="H12" s="61">
        <f t="shared" si="0"/>
        <v>9</v>
      </c>
      <c r="J12" s="59" t="s">
        <v>31</v>
      </c>
      <c r="K12" s="19">
        <v>2</v>
      </c>
      <c r="L12" s="1">
        <v>3</v>
      </c>
      <c r="M12" s="1">
        <v>1</v>
      </c>
      <c r="N12" s="1">
        <v>3</v>
      </c>
      <c r="O12" s="1"/>
      <c r="P12" s="61">
        <f t="shared" si="1"/>
        <v>9</v>
      </c>
      <c r="R12" s="49"/>
      <c r="T12" s="59" t="s">
        <v>88</v>
      </c>
      <c r="U12" s="1">
        <v>1</v>
      </c>
      <c r="V12" s="1">
        <v>2</v>
      </c>
      <c r="W12" s="1">
        <v>2</v>
      </c>
      <c r="X12" s="1"/>
      <c r="Y12" s="1"/>
      <c r="Z12" s="67">
        <f t="shared" si="2"/>
        <v>5</v>
      </c>
      <c r="AB12" s="59" t="s">
        <v>337</v>
      </c>
      <c r="AC12" s="19"/>
      <c r="AD12" s="1">
        <v>2</v>
      </c>
      <c r="AE12" s="1">
        <v>3</v>
      </c>
      <c r="AF12" s="1"/>
      <c r="AG12" s="1"/>
      <c r="AH12" s="67">
        <f t="shared" si="3"/>
        <v>5</v>
      </c>
    </row>
    <row r="13" spans="2:34" ht="13.5">
      <c r="B13" s="59" t="s">
        <v>56</v>
      </c>
      <c r="C13" s="19">
        <v>1</v>
      </c>
      <c r="D13" s="1">
        <v>3</v>
      </c>
      <c r="E13" s="1">
        <v>4</v>
      </c>
      <c r="F13" s="1"/>
      <c r="G13" s="1"/>
      <c r="H13" s="61">
        <f t="shared" si="0"/>
        <v>8</v>
      </c>
      <c r="J13" s="69" t="s">
        <v>338</v>
      </c>
      <c r="K13" s="70"/>
      <c r="L13" s="71">
        <v>1</v>
      </c>
      <c r="M13" s="71"/>
      <c r="N13" s="71"/>
      <c r="O13" s="71"/>
      <c r="P13" s="72">
        <f t="shared" si="1"/>
        <v>1</v>
      </c>
      <c r="R13" s="49"/>
      <c r="T13" s="59" t="s">
        <v>85</v>
      </c>
      <c r="U13" s="1"/>
      <c r="V13" s="1">
        <v>1</v>
      </c>
      <c r="W13" s="1"/>
      <c r="X13" s="1">
        <v>1</v>
      </c>
      <c r="Y13" s="1"/>
      <c r="Z13" s="67">
        <f t="shared" si="2"/>
        <v>2</v>
      </c>
      <c r="AB13" s="59" t="s">
        <v>85</v>
      </c>
      <c r="AC13" s="1"/>
      <c r="AD13" s="1"/>
      <c r="AE13" s="1"/>
      <c r="AF13" s="1">
        <v>3</v>
      </c>
      <c r="AG13" s="1"/>
      <c r="AH13" s="67">
        <v>3</v>
      </c>
    </row>
    <row r="14" spans="2:34" ht="13.5">
      <c r="B14" s="69" t="s">
        <v>339</v>
      </c>
      <c r="C14" s="73"/>
      <c r="D14" s="71">
        <v>1</v>
      </c>
      <c r="E14" s="71">
        <v>1</v>
      </c>
      <c r="F14" s="71">
        <v>2</v>
      </c>
      <c r="G14" s="71"/>
      <c r="H14" s="74">
        <f t="shared" si="0"/>
        <v>4</v>
      </c>
      <c r="L14" s="75"/>
      <c r="M14" s="75"/>
      <c r="N14" s="75"/>
      <c r="O14" s="75"/>
      <c r="P14" s="75"/>
      <c r="R14" s="49"/>
      <c r="T14" s="59" t="s">
        <v>80</v>
      </c>
      <c r="U14" s="1"/>
      <c r="V14" s="1"/>
      <c r="W14" s="1"/>
      <c r="X14" s="1">
        <v>2</v>
      </c>
      <c r="Y14" s="1"/>
      <c r="Z14" s="67">
        <f t="shared" si="2"/>
        <v>2</v>
      </c>
      <c r="AB14" s="69" t="s">
        <v>245</v>
      </c>
      <c r="AC14" s="71"/>
      <c r="AD14" s="71"/>
      <c r="AE14" s="71">
        <v>1</v>
      </c>
      <c r="AF14" s="71">
        <v>1</v>
      </c>
      <c r="AG14" s="71"/>
      <c r="AH14" s="74">
        <f>SUM(AC14:AG14)</f>
        <v>2</v>
      </c>
    </row>
    <row r="15" spans="18:26" ht="13.5">
      <c r="R15" s="49"/>
      <c r="T15" s="69" t="s">
        <v>108</v>
      </c>
      <c r="U15" s="71"/>
      <c r="V15" s="71"/>
      <c r="W15" s="71">
        <v>1</v>
      </c>
      <c r="X15" s="71"/>
      <c r="Y15" s="71"/>
      <c r="Z15" s="74">
        <f t="shared" si="2"/>
        <v>1</v>
      </c>
    </row>
    <row r="16" ht="13.5">
      <c r="R16" s="49"/>
    </row>
    <row r="17" spans="2:34" s="46" customFormat="1" ht="13.5">
      <c r="B17" s="53" t="s">
        <v>340</v>
      </c>
      <c r="C17" s="54" t="s">
        <v>329</v>
      </c>
      <c r="D17" s="55" t="s">
        <v>330</v>
      </c>
      <c r="E17" s="55" t="s">
        <v>331</v>
      </c>
      <c r="F17" s="55" t="s">
        <v>332</v>
      </c>
      <c r="G17" s="55" t="s">
        <v>333</v>
      </c>
      <c r="H17" s="55" t="s">
        <v>334</v>
      </c>
      <c r="J17" s="56" t="s">
        <v>341</v>
      </c>
      <c r="K17" s="57" t="s">
        <v>329</v>
      </c>
      <c r="L17" s="58" t="s">
        <v>330</v>
      </c>
      <c r="M17" s="58" t="s">
        <v>331</v>
      </c>
      <c r="N17" s="55" t="s">
        <v>332</v>
      </c>
      <c r="O17" s="58" t="s">
        <v>333</v>
      </c>
      <c r="P17" s="58" t="s">
        <v>334</v>
      </c>
      <c r="Q17" s="48"/>
      <c r="R17" s="49"/>
      <c r="S17" s="48"/>
      <c r="AB17" s="53" t="s">
        <v>341</v>
      </c>
      <c r="AC17" s="54" t="s">
        <v>329</v>
      </c>
      <c r="AD17" s="55" t="s">
        <v>330</v>
      </c>
      <c r="AE17" s="55" t="s">
        <v>331</v>
      </c>
      <c r="AF17" s="55" t="s">
        <v>332</v>
      </c>
      <c r="AG17" s="55" t="s">
        <v>333</v>
      </c>
      <c r="AH17" s="55" t="s">
        <v>334</v>
      </c>
    </row>
    <row r="18" spans="2:34" ht="13.5">
      <c r="B18" s="59" t="s">
        <v>51</v>
      </c>
      <c r="C18" s="19">
        <v>5</v>
      </c>
      <c r="D18" s="60">
        <v>4</v>
      </c>
      <c r="E18" s="60">
        <v>5</v>
      </c>
      <c r="F18" s="60">
        <v>3</v>
      </c>
      <c r="G18" s="60"/>
      <c r="H18" s="61">
        <f aca="true" t="shared" si="4" ref="H18:H22">SUM(C18:G18)</f>
        <v>17</v>
      </c>
      <c r="J18" s="62" t="s">
        <v>51</v>
      </c>
      <c r="K18" s="64">
        <v>6</v>
      </c>
      <c r="L18" s="60">
        <v>6</v>
      </c>
      <c r="M18" s="60">
        <v>7</v>
      </c>
      <c r="N18" s="60">
        <v>6</v>
      </c>
      <c r="O18" s="60"/>
      <c r="P18" s="63">
        <f aca="true" t="shared" si="5" ref="P18:P25">SUM(K18:O18)</f>
        <v>25</v>
      </c>
      <c r="R18" s="49"/>
      <c r="T18" s="56" t="s">
        <v>340</v>
      </c>
      <c r="U18" s="76" t="s">
        <v>329</v>
      </c>
      <c r="V18" s="77" t="s">
        <v>330</v>
      </c>
      <c r="W18" s="77" t="s">
        <v>331</v>
      </c>
      <c r="X18" s="55" t="s">
        <v>332</v>
      </c>
      <c r="Y18" s="77" t="s">
        <v>333</v>
      </c>
      <c r="Z18" s="77" t="s">
        <v>334</v>
      </c>
      <c r="AB18" s="62" t="s">
        <v>190</v>
      </c>
      <c r="AC18" s="64">
        <v>2</v>
      </c>
      <c r="AD18" s="60">
        <v>2</v>
      </c>
      <c r="AE18" s="60">
        <v>4</v>
      </c>
      <c r="AF18" s="60">
        <v>3</v>
      </c>
      <c r="AG18" s="60"/>
      <c r="AH18" s="66">
        <f aca="true" t="shared" si="6" ref="AH18:AH21">SUM(AC18:AG18)</f>
        <v>11</v>
      </c>
    </row>
    <row r="19" spans="2:34" ht="12.75">
      <c r="B19" s="59" t="s">
        <v>17</v>
      </c>
      <c r="C19" s="19">
        <v>4</v>
      </c>
      <c r="D19" s="1">
        <v>3</v>
      </c>
      <c r="E19" s="1">
        <v>4</v>
      </c>
      <c r="F19" s="1">
        <v>5</v>
      </c>
      <c r="G19" s="1"/>
      <c r="H19" s="61">
        <f t="shared" si="4"/>
        <v>16</v>
      </c>
      <c r="J19" s="59" t="s">
        <v>22</v>
      </c>
      <c r="K19" s="19">
        <v>5</v>
      </c>
      <c r="L19" s="1">
        <v>3</v>
      </c>
      <c r="M19" s="1">
        <v>3</v>
      </c>
      <c r="N19" s="1">
        <v>4</v>
      </c>
      <c r="O19" s="1"/>
      <c r="P19" s="67">
        <f t="shared" si="5"/>
        <v>15</v>
      </c>
      <c r="R19" s="49"/>
      <c r="T19" s="59" t="s">
        <v>119</v>
      </c>
      <c r="U19" s="19">
        <v>5</v>
      </c>
      <c r="V19" s="19">
        <v>4</v>
      </c>
      <c r="W19" s="19">
        <v>4</v>
      </c>
      <c r="X19" s="19">
        <v>3</v>
      </c>
      <c r="Y19" s="19"/>
      <c r="Z19" s="67">
        <f aca="true" t="shared" si="7" ref="Z19:Z23">SUM(U19:Y19)</f>
        <v>16</v>
      </c>
      <c r="AB19" s="59" t="s">
        <v>60</v>
      </c>
      <c r="AC19" s="19">
        <v>1</v>
      </c>
      <c r="AD19" s="1">
        <v>1</v>
      </c>
      <c r="AE19" s="1">
        <v>3</v>
      </c>
      <c r="AF19" s="1">
        <v>2</v>
      </c>
      <c r="AG19" s="1"/>
      <c r="AH19" s="61">
        <f t="shared" si="6"/>
        <v>7</v>
      </c>
    </row>
    <row r="20" spans="2:34" ht="12.75">
      <c r="B20" s="59" t="s">
        <v>22</v>
      </c>
      <c r="C20" s="19">
        <v>2</v>
      </c>
      <c r="D20" s="1">
        <v>2</v>
      </c>
      <c r="E20" s="1">
        <v>3</v>
      </c>
      <c r="F20" s="1">
        <v>4</v>
      </c>
      <c r="G20" s="1"/>
      <c r="H20" s="61">
        <f t="shared" si="4"/>
        <v>11</v>
      </c>
      <c r="J20" s="59" t="s">
        <v>56</v>
      </c>
      <c r="K20" s="19">
        <v>4</v>
      </c>
      <c r="L20" s="1">
        <v>2</v>
      </c>
      <c r="M20" s="1">
        <v>4</v>
      </c>
      <c r="N20" s="1">
        <v>5</v>
      </c>
      <c r="O20" s="1"/>
      <c r="P20" s="67">
        <f t="shared" si="5"/>
        <v>15</v>
      </c>
      <c r="R20" s="49"/>
      <c r="T20" s="59" t="s">
        <v>124</v>
      </c>
      <c r="U20" s="1">
        <v>4</v>
      </c>
      <c r="V20" s="1">
        <v>3</v>
      </c>
      <c r="W20" s="1">
        <v>3</v>
      </c>
      <c r="X20" s="1">
        <v>2</v>
      </c>
      <c r="Y20" s="1"/>
      <c r="Z20" s="67">
        <f t="shared" si="7"/>
        <v>12</v>
      </c>
      <c r="AB20" s="59" t="s">
        <v>65</v>
      </c>
      <c r="AC20" s="1"/>
      <c r="AD20" s="1"/>
      <c r="AE20" s="1">
        <v>2</v>
      </c>
      <c r="AF20" s="1"/>
      <c r="AG20" s="1"/>
      <c r="AH20" s="61">
        <f t="shared" si="6"/>
        <v>2</v>
      </c>
    </row>
    <row r="21" spans="2:34" ht="12.75">
      <c r="B21" s="59" t="s">
        <v>31</v>
      </c>
      <c r="C21" s="19">
        <v>3</v>
      </c>
      <c r="D21" s="78">
        <v>1</v>
      </c>
      <c r="E21" s="78">
        <v>2</v>
      </c>
      <c r="F21" s="78"/>
      <c r="G21" s="78"/>
      <c r="H21" s="61">
        <f t="shared" si="4"/>
        <v>6</v>
      </c>
      <c r="J21" s="79" t="s">
        <v>295</v>
      </c>
      <c r="K21" s="1"/>
      <c r="L21" s="1">
        <v>5</v>
      </c>
      <c r="M21" s="1">
        <v>6</v>
      </c>
      <c r="N21" s="1">
        <v>2</v>
      </c>
      <c r="O21" s="1"/>
      <c r="P21" s="67">
        <f t="shared" si="5"/>
        <v>13</v>
      </c>
      <c r="R21" s="49"/>
      <c r="T21" s="59" t="s">
        <v>190</v>
      </c>
      <c r="U21" s="1">
        <v>3</v>
      </c>
      <c r="V21" s="1">
        <v>2</v>
      </c>
      <c r="W21" s="1">
        <v>2</v>
      </c>
      <c r="X21" s="1"/>
      <c r="Y21" s="1"/>
      <c r="Z21" s="67">
        <f t="shared" si="7"/>
        <v>7</v>
      </c>
      <c r="AB21" s="80" t="s">
        <v>70</v>
      </c>
      <c r="AC21" s="1"/>
      <c r="AD21" s="1"/>
      <c r="AE21" s="1">
        <v>1</v>
      </c>
      <c r="AF21" s="1">
        <v>1</v>
      </c>
      <c r="AG21" s="1"/>
      <c r="AH21" s="61">
        <f t="shared" si="6"/>
        <v>2</v>
      </c>
    </row>
    <row r="22" spans="2:34" ht="13.5">
      <c r="B22" s="59" t="s">
        <v>46</v>
      </c>
      <c r="C22" s="52">
        <v>1</v>
      </c>
      <c r="D22" s="1"/>
      <c r="E22" s="1"/>
      <c r="F22" s="1">
        <v>1</v>
      </c>
      <c r="G22" s="1"/>
      <c r="H22" s="67">
        <f t="shared" si="4"/>
        <v>2</v>
      </c>
      <c r="J22" s="59" t="s">
        <v>31</v>
      </c>
      <c r="K22" s="19">
        <v>2</v>
      </c>
      <c r="L22" s="1">
        <v>4</v>
      </c>
      <c r="M22" s="1">
        <v>1</v>
      </c>
      <c r="N22" s="1">
        <v>3</v>
      </c>
      <c r="O22" s="1"/>
      <c r="P22" s="67">
        <f t="shared" si="5"/>
        <v>10</v>
      </c>
      <c r="R22" s="49"/>
      <c r="T22" s="59" t="s">
        <v>60</v>
      </c>
      <c r="U22" s="1">
        <v>1</v>
      </c>
      <c r="V22" s="1">
        <v>1</v>
      </c>
      <c r="W22" s="1">
        <v>1</v>
      </c>
      <c r="X22" s="1">
        <v>1</v>
      </c>
      <c r="Y22" s="1"/>
      <c r="Z22" s="67">
        <f t="shared" si="7"/>
        <v>4</v>
      </c>
      <c r="AB22" s="81"/>
      <c r="AC22" s="71"/>
      <c r="AD22" s="71"/>
      <c r="AE22" s="71"/>
      <c r="AF22" s="71"/>
      <c r="AG22" s="71"/>
      <c r="AH22" s="74"/>
    </row>
    <row r="23" spans="2:34" ht="13.5">
      <c r="B23" s="69" t="s">
        <v>36</v>
      </c>
      <c r="C23" s="71"/>
      <c r="D23" s="71"/>
      <c r="E23" s="71">
        <v>1</v>
      </c>
      <c r="F23" s="71">
        <v>2</v>
      </c>
      <c r="G23" s="71"/>
      <c r="H23" s="74">
        <v>1</v>
      </c>
      <c r="J23" s="59" t="s">
        <v>342</v>
      </c>
      <c r="K23" s="19">
        <v>3</v>
      </c>
      <c r="L23" s="1"/>
      <c r="M23" s="1">
        <v>5</v>
      </c>
      <c r="N23" s="1">
        <v>1</v>
      </c>
      <c r="O23" s="1"/>
      <c r="P23" s="67">
        <f t="shared" si="5"/>
        <v>9</v>
      </c>
      <c r="R23" s="49"/>
      <c r="T23" s="69" t="s">
        <v>70</v>
      </c>
      <c r="U23" s="71">
        <v>2</v>
      </c>
      <c r="V23" s="71"/>
      <c r="W23" s="71"/>
      <c r="X23" s="71"/>
      <c r="Y23" s="71"/>
      <c r="Z23" s="74">
        <f t="shared" si="7"/>
        <v>2</v>
      </c>
      <c r="AD23" s="52"/>
      <c r="AE23" s="52"/>
      <c r="AF23" s="52"/>
      <c r="AG23" s="52"/>
      <c r="AH23" s="52"/>
    </row>
    <row r="24" spans="10:26" ht="12.75">
      <c r="J24" s="59" t="s">
        <v>343</v>
      </c>
      <c r="K24" s="19">
        <v>1</v>
      </c>
      <c r="L24" s="1">
        <v>1</v>
      </c>
      <c r="M24" s="1"/>
      <c r="N24" s="1"/>
      <c r="O24" s="1"/>
      <c r="P24" s="67">
        <f t="shared" si="5"/>
        <v>2</v>
      </c>
      <c r="R24" s="49"/>
      <c r="V24" s="52"/>
      <c r="W24" s="52"/>
      <c r="X24" s="52"/>
      <c r="Y24" s="52"/>
      <c r="Z24" s="52"/>
    </row>
    <row r="25" spans="10:34" ht="13.5">
      <c r="J25" s="82" t="s">
        <v>27</v>
      </c>
      <c r="K25" s="71"/>
      <c r="L25" s="71"/>
      <c r="M25" s="71">
        <v>2</v>
      </c>
      <c r="N25" s="71"/>
      <c r="O25" s="71"/>
      <c r="P25" s="74">
        <f t="shared" si="5"/>
        <v>2</v>
      </c>
      <c r="R25" s="49"/>
      <c r="AB25" s="51"/>
      <c r="AC25" s="52"/>
      <c r="AD25" s="52"/>
      <c r="AE25" s="52"/>
      <c r="AF25" s="52"/>
      <c r="AG25" s="52"/>
      <c r="AH25" s="52"/>
    </row>
    <row r="26" spans="17:34" s="46" customFormat="1" ht="13.5">
      <c r="Q26" s="48"/>
      <c r="R26" s="49"/>
      <c r="S26" s="48"/>
      <c r="U26" s="47"/>
      <c r="V26" s="47"/>
      <c r="W26" s="47"/>
      <c r="X26" s="47"/>
      <c r="Y26" s="47"/>
      <c r="Z26" s="47"/>
      <c r="AB26" s="83" t="s">
        <v>344</v>
      </c>
      <c r="AC26" s="84" t="s">
        <v>329</v>
      </c>
      <c r="AD26" s="84" t="s">
        <v>330</v>
      </c>
      <c r="AE26" s="84" t="s">
        <v>331</v>
      </c>
      <c r="AF26" s="55" t="s">
        <v>332</v>
      </c>
      <c r="AG26" s="84" t="s">
        <v>333</v>
      </c>
      <c r="AH26" s="55" t="s">
        <v>334</v>
      </c>
    </row>
    <row r="27" spans="2:34" ht="13.5">
      <c r="B27" s="53" t="s">
        <v>345</v>
      </c>
      <c r="C27" s="85" t="s">
        <v>329</v>
      </c>
      <c r="D27" s="85" t="s">
        <v>330</v>
      </c>
      <c r="E27" s="85" t="s">
        <v>331</v>
      </c>
      <c r="F27" s="55" t="s">
        <v>332</v>
      </c>
      <c r="G27" s="85" t="s">
        <v>333</v>
      </c>
      <c r="H27" s="85" t="s">
        <v>334</v>
      </c>
      <c r="J27" s="53" t="s">
        <v>344</v>
      </c>
      <c r="K27" s="54" t="s">
        <v>329</v>
      </c>
      <c r="L27" s="55" t="s">
        <v>330</v>
      </c>
      <c r="M27" s="55" t="s">
        <v>331</v>
      </c>
      <c r="N27" s="55" t="s">
        <v>332</v>
      </c>
      <c r="O27" s="55" t="s">
        <v>333</v>
      </c>
      <c r="P27" s="55" t="s">
        <v>334</v>
      </c>
      <c r="R27" s="49"/>
      <c r="T27" s="56" t="s">
        <v>345</v>
      </c>
      <c r="U27" s="57" t="s">
        <v>329</v>
      </c>
      <c r="V27" s="58" t="s">
        <v>330</v>
      </c>
      <c r="W27" s="58" t="s">
        <v>331</v>
      </c>
      <c r="X27" s="55" t="s">
        <v>332</v>
      </c>
      <c r="Y27" s="58" t="s">
        <v>333</v>
      </c>
      <c r="Z27" s="58" t="s">
        <v>334</v>
      </c>
      <c r="AB27" s="59" t="s">
        <v>346</v>
      </c>
      <c r="AC27" s="19">
        <v>2</v>
      </c>
      <c r="AD27" s="78">
        <v>2</v>
      </c>
      <c r="AE27" s="78"/>
      <c r="AF27" s="78"/>
      <c r="AG27" s="78"/>
      <c r="AH27" s="86">
        <f aca="true" t="shared" si="8" ref="AH27:AH30">SUM(AC27:AG27)</f>
        <v>4</v>
      </c>
    </row>
    <row r="28" spans="2:34" ht="12.75">
      <c r="B28" s="59" t="s">
        <v>22</v>
      </c>
      <c r="C28" s="19">
        <v>5</v>
      </c>
      <c r="D28" s="60">
        <v>6</v>
      </c>
      <c r="E28" s="60">
        <v>8</v>
      </c>
      <c r="F28" s="60">
        <v>7</v>
      </c>
      <c r="G28" s="60"/>
      <c r="H28" s="63">
        <f aca="true" t="shared" si="9" ref="H28:H35">SUM(C28:G28)</f>
        <v>26</v>
      </c>
      <c r="J28" s="87" t="s">
        <v>288</v>
      </c>
      <c r="K28" s="88">
        <v>6</v>
      </c>
      <c r="L28" s="78">
        <v>5</v>
      </c>
      <c r="M28" s="78">
        <v>6</v>
      </c>
      <c r="N28" s="78">
        <v>4</v>
      </c>
      <c r="O28" s="78"/>
      <c r="P28" s="86">
        <f aca="true" t="shared" si="10" ref="P28:P33">SUM(K28:O28)</f>
        <v>21</v>
      </c>
      <c r="R28" s="49"/>
      <c r="T28" s="89" t="s">
        <v>75</v>
      </c>
      <c r="U28" s="60">
        <v>2</v>
      </c>
      <c r="V28" s="60">
        <v>2</v>
      </c>
      <c r="W28" s="60">
        <v>4</v>
      </c>
      <c r="X28" s="60">
        <v>3</v>
      </c>
      <c r="Y28" s="60"/>
      <c r="Z28" s="63">
        <f aca="true" t="shared" si="11" ref="Z28:Z32">SUM(U28:Y28)</f>
        <v>11</v>
      </c>
      <c r="AB28" s="59" t="s">
        <v>312</v>
      </c>
      <c r="AC28" s="19">
        <v>3</v>
      </c>
      <c r="AD28" s="1"/>
      <c r="AE28" s="1">
        <v>1</v>
      </c>
      <c r="AF28" s="1"/>
      <c r="AG28" s="1"/>
      <c r="AH28" s="67">
        <f t="shared" si="8"/>
        <v>4</v>
      </c>
    </row>
    <row r="29" spans="2:34" ht="12.75">
      <c r="B29" s="59" t="s">
        <v>116</v>
      </c>
      <c r="C29" s="2"/>
      <c r="D29" s="1">
        <v>5</v>
      </c>
      <c r="E29" s="1">
        <v>6</v>
      </c>
      <c r="F29" s="1">
        <v>8</v>
      </c>
      <c r="G29" s="1"/>
      <c r="H29" s="67">
        <f t="shared" si="9"/>
        <v>19</v>
      </c>
      <c r="J29" s="59" t="s">
        <v>56</v>
      </c>
      <c r="K29" s="19">
        <v>5</v>
      </c>
      <c r="L29" s="1">
        <v>6</v>
      </c>
      <c r="M29" s="1">
        <v>5</v>
      </c>
      <c r="N29" s="1">
        <v>3</v>
      </c>
      <c r="O29" s="1"/>
      <c r="P29" s="67">
        <f t="shared" si="10"/>
        <v>19</v>
      </c>
      <c r="R29" s="49"/>
      <c r="T29" s="59" t="s">
        <v>70</v>
      </c>
      <c r="U29" s="1">
        <v>3</v>
      </c>
      <c r="V29" s="1">
        <v>1</v>
      </c>
      <c r="W29" s="1"/>
      <c r="X29" s="1">
        <v>1</v>
      </c>
      <c r="Y29" s="1"/>
      <c r="Z29" s="67">
        <f t="shared" si="11"/>
        <v>5</v>
      </c>
      <c r="AB29" s="59" t="s">
        <v>337</v>
      </c>
      <c r="AC29" s="19"/>
      <c r="AD29" s="1">
        <v>3</v>
      </c>
      <c r="AE29" s="1"/>
      <c r="AF29" s="1"/>
      <c r="AG29" s="1"/>
      <c r="AH29" s="67">
        <f t="shared" si="8"/>
        <v>3</v>
      </c>
    </row>
    <row r="30" spans="2:34" ht="13.5">
      <c r="B30" s="59" t="s">
        <v>146</v>
      </c>
      <c r="C30" s="19">
        <v>4</v>
      </c>
      <c r="D30" s="1">
        <v>2</v>
      </c>
      <c r="E30" s="1">
        <v>5</v>
      </c>
      <c r="F30" s="1">
        <v>5</v>
      </c>
      <c r="G30" s="1"/>
      <c r="H30" s="67">
        <f t="shared" si="9"/>
        <v>16</v>
      </c>
      <c r="J30" s="59" t="s">
        <v>31</v>
      </c>
      <c r="K30" s="19">
        <v>3</v>
      </c>
      <c r="L30" s="1">
        <v>3</v>
      </c>
      <c r="M30" s="1">
        <v>3</v>
      </c>
      <c r="N30" s="1">
        <v>1</v>
      </c>
      <c r="O30" s="1"/>
      <c r="P30" s="67">
        <f t="shared" si="10"/>
        <v>10</v>
      </c>
      <c r="R30" s="49"/>
      <c r="T30" s="90" t="s">
        <v>88</v>
      </c>
      <c r="U30" s="1"/>
      <c r="V30" s="1"/>
      <c r="W30" s="1">
        <v>3</v>
      </c>
      <c r="X30" s="1">
        <v>2</v>
      </c>
      <c r="Y30" s="1"/>
      <c r="Z30" s="67">
        <f t="shared" si="11"/>
        <v>5</v>
      </c>
      <c r="AB30" s="69" t="s">
        <v>70</v>
      </c>
      <c r="AC30" s="73">
        <v>1</v>
      </c>
      <c r="AD30" s="71">
        <v>1</v>
      </c>
      <c r="AE30" s="71"/>
      <c r="AF30" s="71"/>
      <c r="AG30" s="71"/>
      <c r="AH30" s="74">
        <f t="shared" si="8"/>
        <v>2</v>
      </c>
    </row>
    <row r="31" spans="2:26" ht="12.75">
      <c r="B31" s="59" t="s">
        <v>12</v>
      </c>
      <c r="C31" s="1"/>
      <c r="D31" s="1"/>
      <c r="E31" s="1">
        <v>7</v>
      </c>
      <c r="F31" s="1">
        <v>6</v>
      </c>
      <c r="G31" s="1"/>
      <c r="H31" s="67">
        <f t="shared" si="9"/>
        <v>13</v>
      </c>
      <c r="J31" s="59" t="s">
        <v>295</v>
      </c>
      <c r="K31" s="19">
        <v>4</v>
      </c>
      <c r="L31" s="1">
        <v>2</v>
      </c>
      <c r="M31" s="1">
        <v>2</v>
      </c>
      <c r="N31" s="1">
        <v>2</v>
      </c>
      <c r="O31" s="1"/>
      <c r="P31" s="67">
        <f t="shared" si="10"/>
        <v>10</v>
      </c>
      <c r="R31" s="49"/>
      <c r="T31" s="59" t="s">
        <v>190</v>
      </c>
      <c r="U31" s="1">
        <v>1</v>
      </c>
      <c r="V31" s="1"/>
      <c r="W31" s="1">
        <v>2</v>
      </c>
      <c r="X31" s="1"/>
      <c r="Y31" s="1"/>
      <c r="Z31" s="67">
        <f t="shared" si="11"/>
        <v>3</v>
      </c>
    </row>
    <row r="32" spans="2:34" ht="13.5">
      <c r="B32" s="59" t="s">
        <v>56</v>
      </c>
      <c r="C32" s="19">
        <v>2</v>
      </c>
      <c r="D32" s="1">
        <v>4</v>
      </c>
      <c r="E32" s="1">
        <v>4</v>
      </c>
      <c r="F32" s="1">
        <v>2</v>
      </c>
      <c r="G32" s="1"/>
      <c r="H32" s="67">
        <f t="shared" si="9"/>
        <v>12</v>
      </c>
      <c r="J32" s="59" t="s">
        <v>51</v>
      </c>
      <c r="K32" s="19"/>
      <c r="L32" s="1">
        <v>4</v>
      </c>
      <c r="M32" s="1">
        <v>4</v>
      </c>
      <c r="N32" s="1"/>
      <c r="O32" s="1"/>
      <c r="P32" s="67">
        <f t="shared" si="10"/>
        <v>8</v>
      </c>
      <c r="R32" s="49"/>
      <c r="T32" s="69" t="s">
        <v>346</v>
      </c>
      <c r="U32" s="71"/>
      <c r="V32" s="71"/>
      <c r="W32" s="71">
        <v>1</v>
      </c>
      <c r="X32" s="71"/>
      <c r="Y32" s="71"/>
      <c r="Z32" s="74">
        <f t="shared" si="11"/>
        <v>1</v>
      </c>
      <c r="AB32" s="91"/>
      <c r="AC32" s="52"/>
      <c r="AD32" s="52"/>
      <c r="AE32" s="52"/>
      <c r="AF32" s="52"/>
      <c r="AG32" s="52"/>
      <c r="AH32" s="52"/>
    </row>
    <row r="33" spans="2:34" ht="12.75">
      <c r="B33" s="59" t="s">
        <v>51</v>
      </c>
      <c r="C33" s="92">
        <v>3</v>
      </c>
      <c r="D33" s="1">
        <v>3</v>
      </c>
      <c r="E33" s="1">
        <v>2</v>
      </c>
      <c r="F33" s="1">
        <v>1</v>
      </c>
      <c r="G33" s="1"/>
      <c r="H33" s="67">
        <f t="shared" si="9"/>
        <v>9</v>
      </c>
      <c r="J33" s="59" t="s">
        <v>12</v>
      </c>
      <c r="K33" s="19">
        <v>2</v>
      </c>
      <c r="L33" s="1">
        <v>1</v>
      </c>
      <c r="M33" s="1">
        <v>1</v>
      </c>
      <c r="N33" s="1"/>
      <c r="O33" s="1"/>
      <c r="P33" s="67">
        <f t="shared" si="10"/>
        <v>4</v>
      </c>
      <c r="R33" s="49"/>
      <c r="T33" s="91"/>
      <c r="U33" s="52"/>
      <c r="V33" s="52"/>
      <c r="W33" s="52"/>
      <c r="X33" s="52"/>
      <c r="Y33" s="52"/>
      <c r="Z33" s="52"/>
      <c r="AB33" s="91"/>
      <c r="AC33" s="52"/>
      <c r="AD33" s="52"/>
      <c r="AE33" s="52"/>
      <c r="AF33" s="52"/>
      <c r="AG33" s="52"/>
      <c r="AH33" s="52"/>
    </row>
    <row r="34" spans="2:34" ht="13.5">
      <c r="B34" s="93" t="s">
        <v>36</v>
      </c>
      <c r="C34" s="1"/>
      <c r="D34" s="1"/>
      <c r="E34" s="1">
        <v>3</v>
      </c>
      <c r="F34" s="1">
        <v>4</v>
      </c>
      <c r="G34" s="1"/>
      <c r="H34" s="67">
        <f t="shared" si="9"/>
        <v>7</v>
      </c>
      <c r="J34" s="94"/>
      <c r="K34" s="71"/>
      <c r="L34" s="71"/>
      <c r="M34" s="71"/>
      <c r="N34" s="71"/>
      <c r="O34" s="71"/>
      <c r="P34" s="74"/>
      <c r="R34" s="49"/>
      <c r="T34" s="91"/>
      <c r="U34" s="52"/>
      <c r="V34" s="52"/>
      <c r="W34" s="52"/>
      <c r="X34" s="52"/>
      <c r="Y34" s="52"/>
      <c r="Z34" s="52"/>
      <c r="AB34" s="91"/>
      <c r="AC34" s="52"/>
      <c r="AD34" s="52"/>
      <c r="AE34" s="52"/>
      <c r="AF34" s="52"/>
      <c r="AG34" s="52"/>
      <c r="AH34" s="52"/>
    </row>
    <row r="35" spans="2:34" ht="13.5">
      <c r="B35" s="69" t="s">
        <v>31</v>
      </c>
      <c r="C35" s="73">
        <v>1</v>
      </c>
      <c r="D35" s="71">
        <v>1</v>
      </c>
      <c r="E35" s="71">
        <v>1</v>
      </c>
      <c r="F35" s="71">
        <v>3</v>
      </c>
      <c r="G35" s="71"/>
      <c r="H35" s="74">
        <f t="shared" si="9"/>
        <v>6</v>
      </c>
      <c r="J35" s="91"/>
      <c r="K35" s="52"/>
      <c r="L35" s="52"/>
      <c r="M35" s="52"/>
      <c r="N35" s="52"/>
      <c r="O35" s="52"/>
      <c r="P35" s="52"/>
      <c r="R35" s="49"/>
      <c r="T35" s="91"/>
      <c r="U35" s="52"/>
      <c r="V35" s="52"/>
      <c r="W35" s="52"/>
      <c r="X35" s="52"/>
      <c r="Y35" s="52"/>
      <c r="Z35" s="52"/>
      <c r="AB35" s="91"/>
      <c r="AC35" s="52"/>
      <c r="AD35" s="52"/>
      <c r="AE35" s="52"/>
      <c r="AF35" s="52"/>
      <c r="AG35" s="52"/>
      <c r="AH35" s="52"/>
    </row>
    <row r="36" spans="2:26" ht="13.5">
      <c r="B36" s="95"/>
      <c r="C36" s="52"/>
      <c r="D36" s="52"/>
      <c r="E36" s="52"/>
      <c r="F36" s="52"/>
      <c r="G36" s="52"/>
      <c r="H36" s="52"/>
      <c r="L36" s="52"/>
      <c r="M36" s="52"/>
      <c r="N36" s="52"/>
      <c r="O36" s="52"/>
      <c r="P36" s="52"/>
      <c r="R36" s="49"/>
      <c r="T36" s="91"/>
      <c r="U36" s="52"/>
      <c r="V36" s="52"/>
      <c r="W36" s="52"/>
      <c r="X36" s="52"/>
      <c r="Y36" s="52"/>
      <c r="Z36" s="52"/>
    </row>
    <row r="37" spans="2:34" ht="13.5">
      <c r="B37" s="91"/>
      <c r="R37" s="49"/>
      <c r="T37" s="91"/>
      <c r="AB37" s="53" t="s">
        <v>347</v>
      </c>
      <c r="AC37" s="54" t="s">
        <v>329</v>
      </c>
      <c r="AD37" s="55" t="s">
        <v>330</v>
      </c>
      <c r="AE37" s="55" t="s">
        <v>331</v>
      </c>
      <c r="AF37" s="55" t="s">
        <v>332</v>
      </c>
      <c r="AG37" s="55" t="s">
        <v>333</v>
      </c>
      <c r="AH37" s="55" t="s">
        <v>334</v>
      </c>
    </row>
    <row r="38" spans="2:34" ht="13.5">
      <c r="B38" s="53" t="s">
        <v>348</v>
      </c>
      <c r="C38" s="54" t="s">
        <v>329</v>
      </c>
      <c r="D38" s="55" t="s">
        <v>330</v>
      </c>
      <c r="E38" s="55" t="s">
        <v>331</v>
      </c>
      <c r="F38" s="55" t="s">
        <v>332</v>
      </c>
      <c r="G38" s="55" t="s">
        <v>333</v>
      </c>
      <c r="H38" s="55" t="s">
        <v>334</v>
      </c>
      <c r="J38" s="56" t="s">
        <v>347</v>
      </c>
      <c r="K38" s="57" t="s">
        <v>329</v>
      </c>
      <c r="L38" s="58" t="s">
        <v>330</v>
      </c>
      <c r="M38" s="58" t="s">
        <v>331</v>
      </c>
      <c r="N38" s="55" t="s">
        <v>332</v>
      </c>
      <c r="O38" s="58" t="s">
        <v>333</v>
      </c>
      <c r="P38" s="58" t="s">
        <v>334</v>
      </c>
      <c r="R38" s="49"/>
      <c r="T38" s="53" t="s">
        <v>348</v>
      </c>
      <c r="U38" s="54" t="s">
        <v>329</v>
      </c>
      <c r="V38" s="55" t="s">
        <v>330</v>
      </c>
      <c r="W38" s="55" t="s">
        <v>331</v>
      </c>
      <c r="X38" s="55" t="s">
        <v>332</v>
      </c>
      <c r="Y38" s="55" t="s">
        <v>333</v>
      </c>
      <c r="Z38" s="55" t="s">
        <v>334</v>
      </c>
      <c r="AB38" s="96"/>
      <c r="AC38" s="75"/>
      <c r="AD38" s="75"/>
      <c r="AE38" s="75"/>
      <c r="AF38" s="75"/>
      <c r="AG38" s="75"/>
      <c r="AH38" s="75"/>
    </row>
    <row r="39" spans="2:34" ht="12.75">
      <c r="B39" s="59" t="s">
        <v>183</v>
      </c>
      <c r="C39" s="19">
        <v>4</v>
      </c>
      <c r="D39" s="78">
        <v>4</v>
      </c>
      <c r="E39" s="78">
        <v>4</v>
      </c>
      <c r="F39" s="78">
        <v>2</v>
      </c>
      <c r="G39" s="78"/>
      <c r="H39" s="86">
        <f aca="true" t="shared" si="12" ref="H39:H42">SUM(C39:G39)</f>
        <v>14</v>
      </c>
      <c r="J39" s="62" t="s">
        <v>22</v>
      </c>
      <c r="K39" s="64">
        <v>2</v>
      </c>
      <c r="L39" s="60">
        <v>2</v>
      </c>
      <c r="M39" s="60">
        <v>2</v>
      </c>
      <c r="N39" s="60">
        <v>1</v>
      </c>
      <c r="O39" s="60"/>
      <c r="P39" s="63">
        <f aca="true" t="shared" si="13" ref="P39:P40">SUM(K39:O39)</f>
        <v>7</v>
      </c>
      <c r="R39" s="49"/>
      <c r="T39" s="97" t="s">
        <v>190</v>
      </c>
      <c r="U39" s="98">
        <v>1</v>
      </c>
      <c r="V39" s="99">
        <v>1</v>
      </c>
      <c r="W39" s="99"/>
      <c r="X39" s="99">
        <v>2</v>
      </c>
      <c r="Y39" s="99"/>
      <c r="Z39" s="57">
        <f aca="true" t="shared" si="14" ref="Z39:Z40">SUM(U39:Y39)</f>
        <v>4</v>
      </c>
      <c r="AB39" s="91"/>
      <c r="AC39" s="52"/>
      <c r="AD39" s="52"/>
      <c r="AE39" s="52"/>
      <c r="AF39" s="52"/>
      <c r="AG39" s="52"/>
      <c r="AH39" s="52"/>
    </row>
    <row r="40" spans="2:34" ht="13.5">
      <c r="B40" s="59" t="s">
        <v>22</v>
      </c>
      <c r="C40" s="19">
        <v>2</v>
      </c>
      <c r="D40" s="1">
        <v>3</v>
      </c>
      <c r="E40" s="1">
        <v>2</v>
      </c>
      <c r="F40" s="1">
        <v>4</v>
      </c>
      <c r="G40" s="1"/>
      <c r="H40" s="67">
        <f t="shared" si="12"/>
        <v>11</v>
      </c>
      <c r="J40" s="69" t="s">
        <v>51</v>
      </c>
      <c r="K40" s="73">
        <v>1</v>
      </c>
      <c r="L40" s="71">
        <v>1</v>
      </c>
      <c r="M40" s="71">
        <v>1</v>
      </c>
      <c r="N40" s="71">
        <v>2</v>
      </c>
      <c r="O40" s="71"/>
      <c r="P40" s="74">
        <f t="shared" si="13"/>
        <v>5</v>
      </c>
      <c r="R40" s="49"/>
      <c r="T40" s="94" t="s">
        <v>60</v>
      </c>
      <c r="U40" s="71"/>
      <c r="V40" s="71"/>
      <c r="W40" s="71"/>
      <c r="X40" s="71">
        <v>1</v>
      </c>
      <c r="Y40" s="71"/>
      <c r="Z40" s="74">
        <f t="shared" si="14"/>
        <v>1</v>
      </c>
      <c r="AB40" s="91">
        <v>0</v>
      </c>
      <c r="AC40" s="52"/>
      <c r="AD40" s="52"/>
      <c r="AE40" s="52"/>
      <c r="AF40" s="52"/>
      <c r="AG40" s="52"/>
      <c r="AH40" s="52"/>
    </row>
    <row r="41" spans="2:34" ht="15">
      <c r="B41" s="59" t="s">
        <v>36</v>
      </c>
      <c r="C41" s="19">
        <v>3</v>
      </c>
      <c r="D41" s="1">
        <v>1</v>
      </c>
      <c r="E41" s="1">
        <v>3</v>
      </c>
      <c r="F41" s="1">
        <v>3</v>
      </c>
      <c r="G41" s="1"/>
      <c r="H41" s="67">
        <f t="shared" si="12"/>
        <v>10</v>
      </c>
      <c r="J41" s="91"/>
      <c r="K41" s="52"/>
      <c r="L41" s="52"/>
      <c r="M41" s="52"/>
      <c r="N41" s="52"/>
      <c r="O41" s="52"/>
      <c r="P41" s="52"/>
      <c r="R41" s="49"/>
      <c r="T41" s="100"/>
      <c r="U41" s="101"/>
      <c r="V41" s="52"/>
      <c r="W41" s="52"/>
      <c r="X41" s="52"/>
      <c r="Y41" s="52"/>
      <c r="Z41" s="52"/>
      <c r="AD41" s="52"/>
      <c r="AE41" s="52"/>
      <c r="AF41" s="52"/>
      <c r="AG41" s="52"/>
      <c r="AH41" s="52"/>
    </row>
    <row r="42" spans="2:34" ht="13.5">
      <c r="B42" s="102" t="s">
        <v>56</v>
      </c>
      <c r="C42" s="103">
        <v>1</v>
      </c>
      <c r="D42" s="1">
        <v>2</v>
      </c>
      <c r="E42" s="1">
        <v>1</v>
      </c>
      <c r="F42" s="1">
        <v>1</v>
      </c>
      <c r="G42" s="1"/>
      <c r="H42" s="67">
        <f t="shared" si="12"/>
        <v>5</v>
      </c>
      <c r="R42" s="49"/>
      <c r="V42" s="52"/>
      <c r="W42" s="52"/>
      <c r="X42" s="52"/>
      <c r="Y42" s="52"/>
      <c r="Z42" s="52"/>
      <c r="AD42" s="52"/>
      <c r="AE42" s="52"/>
      <c r="AF42" s="52"/>
      <c r="AG42" s="52"/>
      <c r="AH42" s="52"/>
    </row>
    <row r="43" spans="2:34" ht="13.5">
      <c r="B43" s="59"/>
      <c r="C43" s="2"/>
      <c r="D43" s="1"/>
      <c r="E43" s="1"/>
      <c r="F43" s="1"/>
      <c r="G43" s="1"/>
      <c r="H43" s="67"/>
      <c r="R43" s="49"/>
      <c r="V43" s="52"/>
      <c r="W43" s="52"/>
      <c r="X43" s="52"/>
      <c r="Y43" s="52"/>
      <c r="Z43" s="52"/>
      <c r="AB43" s="56" t="s">
        <v>349</v>
      </c>
      <c r="AC43" s="57" t="s">
        <v>329</v>
      </c>
      <c r="AD43" s="58" t="s">
        <v>330</v>
      </c>
      <c r="AE43" s="58" t="s">
        <v>331</v>
      </c>
      <c r="AF43" s="55" t="s">
        <v>332</v>
      </c>
      <c r="AG43" s="58" t="s">
        <v>333</v>
      </c>
      <c r="AH43" s="58" t="s">
        <v>334</v>
      </c>
    </row>
    <row r="44" spans="2:34" ht="13.5">
      <c r="B44" s="69"/>
      <c r="C44" s="104"/>
      <c r="D44" s="71"/>
      <c r="E44" s="71"/>
      <c r="F44" s="71"/>
      <c r="G44" s="71"/>
      <c r="H44" s="74"/>
      <c r="J44" s="56" t="s">
        <v>349</v>
      </c>
      <c r="K44" s="57" t="s">
        <v>329</v>
      </c>
      <c r="L44" s="58" t="s">
        <v>330</v>
      </c>
      <c r="M44" s="58" t="s">
        <v>331</v>
      </c>
      <c r="N44" s="55" t="s">
        <v>332</v>
      </c>
      <c r="O44" s="58" t="s">
        <v>333</v>
      </c>
      <c r="P44" s="58" t="s">
        <v>334</v>
      </c>
      <c r="R44" s="49"/>
      <c r="V44" s="52"/>
      <c r="W44" s="52"/>
      <c r="X44" s="52"/>
      <c r="Y44" s="52"/>
      <c r="Z44" s="52"/>
      <c r="AB44" s="105"/>
      <c r="AC44" s="1"/>
      <c r="AD44" s="1"/>
      <c r="AE44" s="1"/>
      <c r="AF44" s="1"/>
      <c r="AG44" s="1"/>
      <c r="AH44" s="67">
        <f aca="true" t="shared" si="15" ref="AH44:AH45">SUM(AC44:AG44)</f>
        <v>0</v>
      </c>
    </row>
    <row r="45" spans="10:34" ht="13.5">
      <c r="J45" s="106" t="s">
        <v>146</v>
      </c>
      <c r="K45" s="107">
        <v>2</v>
      </c>
      <c r="L45" s="60">
        <v>2</v>
      </c>
      <c r="M45" s="60">
        <v>4</v>
      </c>
      <c r="N45" s="60">
        <v>3</v>
      </c>
      <c r="O45" s="60"/>
      <c r="P45" s="63">
        <f aca="true" t="shared" si="16" ref="P45:P49">SUM(K45:N45)</f>
        <v>11</v>
      </c>
      <c r="R45" s="49"/>
      <c r="V45" s="52"/>
      <c r="W45" s="52"/>
      <c r="X45" s="52"/>
      <c r="Y45" s="52"/>
      <c r="Z45" s="52"/>
      <c r="AB45" s="94"/>
      <c r="AC45" s="71"/>
      <c r="AD45" s="71"/>
      <c r="AE45" s="71"/>
      <c r="AF45" s="71"/>
      <c r="AG45" s="71"/>
      <c r="AH45" s="67">
        <f t="shared" si="15"/>
        <v>0</v>
      </c>
    </row>
    <row r="46" spans="10:18" ht="12.75">
      <c r="J46" s="105" t="s">
        <v>22</v>
      </c>
      <c r="K46" s="1">
        <v>3</v>
      </c>
      <c r="L46" s="1">
        <v>3</v>
      </c>
      <c r="M46" s="1">
        <v>1</v>
      </c>
      <c r="N46" s="1">
        <v>2</v>
      </c>
      <c r="O46" s="1"/>
      <c r="P46" s="67">
        <f t="shared" si="16"/>
        <v>9</v>
      </c>
      <c r="R46" s="49"/>
    </row>
    <row r="47" spans="10:18" ht="12.75">
      <c r="J47" s="108" t="s">
        <v>75</v>
      </c>
      <c r="K47" s="1"/>
      <c r="L47" s="1">
        <v>1</v>
      </c>
      <c r="M47" s="1">
        <v>2</v>
      </c>
      <c r="N47" s="1">
        <v>1</v>
      </c>
      <c r="O47" s="1"/>
      <c r="P47" s="67">
        <f t="shared" si="16"/>
        <v>4</v>
      </c>
      <c r="R47" s="49"/>
    </row>
    <row r="48" spans="10:18" ht="12.75">
      <c r="J48" s="79" t="s">
        <v>27</v>
      </c>
      <c r="K48" s="1"/>
      <c r="L48" s="1"/>
      <c r="M48" s="1">
        <v>3</v>
      </c>
      <c r="N48" s="1"/>
      <c r="O48" s="1"/>
      <c r="P48" s="67">
        <f t="shared" si="16"/>
        <v>3</v>
      </c>
      <c r="R48" s="49"/>
    </row>
    <row r="49" spans="10:18" ht="13.5">
      <c r="J49" s="109" t="s">
        <v>350</v>
      </c>
      <c r="K49" s="71">
        <v>1</v>
      </c>
      <c r="L49" s="71"/>
      <c r="M49" s="71"/>
      <c r="N49" s="71"/>
      <c r="O49" s="71"/>
      <c r="P49" s="67">
        <f t="shared" si="16"/>
        <v>1</v>
      </c>
      <c r="R49" s="49"/>
    </row>
    <row r="50" ht="12.75">
      <c r="R50" s="49"/>
    </row>
    <row r="51" ht="12.75">
      <c r="R51" s="49"/>
    </row>
    <row r="52" ht="12.75">
      <c r="R52" s="49"/>
    </row>
    <row r="53" ht="12.75">
      <c r="R53" s="49"/>
    </row>
    <row r="54" ht="12.75">
      <c r="R54" s="49"/>
    </row>
    <row r="55" ht="12.75">
      <c r="R55" s="49"/>
    </row>
    <row r="56" ht="12.75">
      <c r="R56" s="49"/>
    </row>
    <row r="57" ht="12.75">
      <c r="R57" s="49"/>
    </row>
    <row r="58" ht="12.75">
      <c r="R58" s="49"/>
    </row>
    <row r="59" ht="12.75">
      <c r="R59" s="49"/>
    </row>
  </sheetData>
  <sheetProtection selectLockedCells="1" selectUnlockedCells="1"/>
  <printOptions/>
  <pageMargins left="0.0798611111111111" right="0.5" top="0.3402777777777778" bottom="0.6" header="0.5118055555555555" footer="0.5118055555555555"/>
  <pageSetup horizontalDpi="300" verticalDpi="300" orientation="landscape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Burke</dc:creator>
  <cp:keywords/>
  <dc:description/>
  <cp:lastModifiedBy/>
  <cp:lastPrinted>2017-07-04T10:23:27Z</cp:lastPrinted>
  <dcterms:created xsi:type="dcterms:W3CDTF">2014-05-07T13:41:56Z</dcterms:created>
  <dcterms:modified xsi:type="dcterms:W3CDTF">2017-07-04T16:26:16Z</dcterms:modified>
  <cp:category/>
  <cp:version/>
  <cp:contentType/>
  <cp:contentStatus/>
  <cp:revision>1</cp:revision>
</cp:coreProperties>
</file>